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5"/>
  <workbookPr/>
  <mc:AlternateContent xmlns:mc="http://schemas.openxmlformats.org/markup-compatibility/2006">
    <mc:Choice Requires="x15">
      <x15ac:absPath xmlns:x15ac="http://schemas.microsoft.com/office/spreadsheetml/2010/11/ac" url="/Users/jonathandeleoncamarena/Desktop/"/>
    </mc:Choice>
  </mc:AlternateContent>
  <xr:revisionPtr revIDLastSave="0" documentId="13_ncr:1_{C49A0540-2756-3D40-AC5E-D000B5CEA5A9}" xr6:coauthVersionLast="47" xr6:coauthVersionMax="47" xr10:uidLastSave="{00000000-0000-0000-0000-000000000000}"/>
  <bookViews>
    <workbookView xWindow="0" yWindow="500" windowWidth="35840" windowHeight="20740" xr2:uid="{00000000-000D-0000-FFFF-FFFF00000000}"/>
  </bookViews>
  <sheets>
    <sheet name="SMGR 24-25" sheetId="1" r:id="rId1"/>
    <sheet name="SMGR 25-26" sheetId="2" state="hidden" r:id="rId2"/>
    <sheet name="SMGR 26-27" sheetId="3" state="hidden" r:id="rId3"/>
    <sheet name="GRAF.PRESIDENCIA 24-25" sheetId="4" state="hidden" r:id="rId4"/>
    <sheet name="GRAF.PRESIDENCIA 25-26" sheetId="5" state="hidden" r:id="rId5"/>
    <sheet name="GRAF.PRESIDENCIA 26-27" sheetId="6" state="hidden" r:id="rId6"/>
    <sheet name="PRESIDENCIA 24-25" sheetId="7" state="hidden" r:id="rId7"/>
    <sheet name="PRESIDENCIA 25-26" sheetId="8" state="hidden" r:id="rId8"/>
    <sheet name="PRESIDENCIA 26-27" sheetId="9" state="hidden" r:id="rId9"/>
    <sheet name="EXT" sheetId="10" state="hidden" r:id="rId10"/>
    <sheet name="01" sheetId="11" state="hidden" r:id="rId11"/>
    <sheet name="02" sheetId="12" state="hidden" r:id="rId12"/>
    <sheet name="03" sheetId="13" state="hidden" r:id="rId13"/>
    <sheet name="BD PRESIDENCIA" sheetId="14" state="hidden" r:id="rId14"/>
    <sheet name="SIN1PERIODO" sheetId="15" state="hidden" r:id="rId15"/>
    <sheet name="SECGEN1PERIODO" sheetId="16" state="hidden" r:id="rId16"/>
    <sheet name="GAB1PERIODO" sheetId="17" state="hidden" r:id="rId17"/>
    <sheet name="TESORERIA1PERIODO" sheetId="18" state="hidden" r:id="rId18"/>
    <sheet name="1PERIODOCONTRALORIA" sheetId="19" state="hidden" r:id="rId19"/>
    <sheet name="1ER PERIODOADMINISTRACION" sheetId="20" state="hidden" r:id="rId20"/>
    <sheet name="1ER PERIODO DESARROLLO ECONOMIC" sheetId="21" state="hidden" r:id="rId21"/>
    <sheet name="1ER PERIODO CONSTRUCCION DE LA " sheetId="22" state="hidden" r:id="rId22"/>
    <sheet name="1ERA SERVICIOS GENERALES" sheetId="23" state="hidden" r:id="rId23"/>
    <sheet name="1RA SEGURIDAD PUBLICA" sheetId="24" state="hidden" r:id="rId24"/>
    <sheet name="1RA GESTION DE LA CIUDAD" sheetId="25" state="hidden" r:id="rId25"/>
    <sheet name="1RA PROTECCION CIVIL" sheetId="26" state="hidden" r:id="rId26"/>
    <sheet name="EXT (1)" sheetId="27" state="hidden" r:id="rId27"/>
  </sheets>
  <definedNames>
    <definedName name="ACLARACIONES">#REF!</definedName>
    <definedName name="ACUERDOSPRESIDENCIA">#REF!</definedName>
    <definedName name="CAPACITACIONESPRESIDENCIA">#REF!</definedName>
    <definedName name="CITASPRESIDENCIA">#REF!</definedName>
    <definedName name="CONSTANCIAS">#REF!</definedName>
    <definedName name="DEPARTAMENTOPRESIDENCIA">#REF!</definedName>
    <definedName name="DISEÑOSPRESIDENCIA">#REF!</definedName>
    <definedName name="EXPEDICIONESACT">#REF!</definedName>
    <definedName name="MATRIMONIOS">#REF!</definedName>
    <definedName name="MESAREPORTARPRESIDENCIA">#REF!</definedName>
    <definedName name="NOTASPRESIDENCIA">#REF!</definedName>
    <definedName name="PERIODOPRESIDENCIA">#REF!</definedName>
    <definedName name="PERPRESIDENCIA">#REF!</definedName>
    <definedName name="PERSONASATENDIDASPRESIDENCIA">#REF!</definedName>
    <definedName name="PERSONASBENEFICIADASPRESIDENCIA">#REF!</definedName>
    <definedName name="PERSONASPRESIDENCIA">#REF!</definedName>
    <definedName name="PROCADMIN">#REF!</definedName>
    <definedName name="PROGRAMASIMPLEMENTADOSPRESIDENCIA">#REF!</definedName>
    <definedName name="PRSADMITERMINADOS">#REF!</definedName>
    <definedName name="PUBLICACIONESPRESIDENCIA">#REF!</definedName>
    <definedName name="SEGREPORTGAB">#REF!</definedName>
    <definedName name="SOLICITUDESPRESIDENCI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31" roundtripDataChecksum="xJGfYFnQVk6yn+LGzTkF3GA091rnTDzKfHEnjpLgRJk="/>
    </ext>
  </extLst>
</workbook>
</file>

<file path=xl/calcChain.xml><?xml version="1.0" encoding="utf-8"?>
<calcChain xmlns="http://schemas.openxmlformats.org/spreadsheetml/2006/main">
  <c r="U4" i="1" l="1"/>
  <c r="U5" i="1"/>
  <c r="U6" i="1"/>
  <c r="U7" i="1"/>
  <c r="U8" i="1"/>
  <c r="U9" i="1"/>
  <c r="U10" i="1"/>
  <c r="U11" i="1"/>
  <c r="U12" i="1"/>
  <c r="U13" i="1"/>
  <c r="U3" i="1"/>
  <c r="S31" i="26"/>
  <c r="R31" i="26"/>
  <c r="Q31" i="26"/>
  <c r="P31" i="26"/>
  <c r="O31" i="26"/>
  <c r="N31" i="26"/>
  <c r="M31" i="26"/>
  <c r="L31" i="26"/>
  <c r="K31" i="26"/>
  <c r="J31" i="26"/>
  <c r="I31" i="26"/>
  <c r="K406" i="1" s="1"/>
  <c r="H31" i="26"/>
  <c r="G31" i="26"/>
  <c r="F31" i="26"/>
  <c r="E31" i="26"/>
  <c r="D31" i="26"/>
  <c r="B31" i="26"/>
  <c r="A31" i="26"/>
  <c r="S30" i="26"/>
  <c r="R30" i="26"/>
  <c r="Q30" i="26"/>
  <c r="P30" i="26"/>
  <c r="O30" i="26"/>
  <c r="N30" i="26"/>
  <c r="M30" i="26"/>
  <c r="L30" i="26"/>
  <c r="K30" i="26"/>
  <c r="M405" i="1" s="1"/>
  <c r="J30" i="26"/>
  <c r="I30" i="26"/>
  <c r="H30" i="26"/>
  <c r="G30" i="26"/>
  <c r="F30" i="26"/>
  <c r="E30" i="26"/>
  <c r="D30" i="26"/>
  <c r="B30" i="26"/>
  <c r="A30" i="26"/>
  <c r="S29" i="26"/>
  <c r="R29" i="26"/>
  <c r="Q29" i="26"/>
  <c r="P29" i="26"/>
  <c r="O29" i="26"/>
  <c r="N29" i="26"/>
  <c r="M29" i="26"/>
  <c r="O404" i="1" s="1"/>
  <c r="L29" i="26"/>
  <c r="K29" i="26"/>
  <c r="J29" i="26"/>
  <c r="I29" i="26"/>
  <c r="H29" i="26"/>
  <c r="G29" i="26"/>
  <c r="F29" i="26"/>
  <c r="E29" i="26"/>
  <c r="D29" i="26"/>
  <c r="B29" i="26"/>
  <c r="A29" i="26"/>
  <c r="S28" i="26"/>
  <c r="R28" i="26"/>
  <c r="Q28" i="26"/>
  <c r="P28" i="26"/>
  <c r="O28" i="26"/>
  <c r="Q403" i="1" s="1"/>
  <c r="N28" i="26"/>
  <c r="M28" i="26"/>
  <c r="L28" i="26"/>
  <c r="K28" i="26"/>
  <c r="J28" i="26"/>
  <c r="I28" i="26"/>
  <c r="H28" i="26"/>
  <c r="G28" i="26"/>
  <c r="F28" i="26"/>
  <c r="E28" i="26"/>
  <c r="D28" i="26"/>
  <c r="B28" i="26"/>
  <c r="A28" i="26"/>
  <c r="S27" i="26"/>
  <c r="R27" i="26"/>
  <c r="Q27" i="26"/>
  <c r="S402" i="1" s="1"/>
  <c r="P27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B27" i="26"/>
  <c r="A27" i="26"/>
  <c r="S26" i="26"/>
  <c r="U401" i="1" s="1"/>
  <c r="R26" i="26"/>
  <c r="Q26" i="26"/>
  <c r="P26" i="26"/>
  <c r="O26" i="26"/>
  <c r="N26" i="26"/>
  <c r="M26" i="26"/>
  <c r="L26" i="26"/>
  <c r="K26" i="26"/>
  <c r="J26" i="26"/>
  <c r="I26" i="26"/>
  <c r="H26" i="26"/>
  <c r="G26" i="26"/>
  <c r="F26" i="26"/>
  <c r="E26" i="26"/>
  <c r="D26" i="26"/>
  <c r="B26" i="26"/>
  <c r="A26" i="26"/>
  <c r="S25" i="26"/>
  <c r="R25" i="26"/>
  <c r="Q25" i="26"/>
  <c r="P25" i="26"/>
  <c r="O25" i="26"/>
  <c r="N25" i="26"/>
  <c r="M25" i="26"/>
  <c r="L25" i="26"/>
  <c r="K25" i="26"/>
  <c r="J25" i="26"/>
  <c r="I25" i="26"/>
  <c r="H25" i="26"/>
  <c r="G25" i="26"/>
  <c r="F25" i="26"/>
  <c r="E25" i="26"/>
  <c r="G400" i="1" s="1"/>
  <c r="D25" i="26"/>
  <c r="B25" i="26"/>
  <c r="A25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I399" i="1" s="1"/>
  <c r="F24" i="26"/>
  <c r="E24" i="26"/>
  <c r="D24" i="26"/>
  <c r="B24" i="26"/>
  <c r="A24" i="26"/>
  <c r="S23" i="26"/>
  <c r="R23" i="26"/>
  <c r="Q23" i="26"/>
  <c r="P23" i="26"/>
  <c r="O23" i="26"/>
  <c r="N23" i="26"/>
  <c r="M23" i="26"/>
  <c r="L23" i="26"/>
  <c r="K23" i="26"/>
  <c r="J23" i="26"/>
  <c r="I23" i="26"/>
  <c r="K398" i="1" s="1"/>
  <c r="H23" i="26"/>
  <c r="G23" i="26"/>
  <c r="F23" i="26"/>
  <c r="E23" i="26"/>
  <c r="D23" i="26"/>
  <c r="B23" i="26"/>
  <c r="A23" i="26"/>
  <c r="S22" i="26"/>
  <c r="R22" i="26"/>
  <c r="Q22" i="26"/>
  <c r="P22" i="26"/>
  <c r="O22" i="26"/>
  <c r="N22" i="26"/>
  <c r="M22" i="26"/>
  <c r="L22" i="26"/>
  <c r="K22" i="26"/>
  <c r="M397" i="1" s="1"/>
  <c r="J22" i="26"/>
  <c r="I22" i="26"/>
  <c r="H22" i="26"/>
  <c r="G22" i="26"/>
  <c r="F22" i="26"/>
  <c r="E22" i="26"/>
  <c r="D22" i="26"/>
  <c r="B22" i="26"/>
  <c r="A22" i="26"/>
  <c r="S21" i="26"/>
  <c r="R21" i="26"/>
  <c r="Q21" i="26"/>
  <c r="P21" i="26"/>
  <c r="O21" i="26"/>
  <c r="N21" i="26"/>
  <c r="M21" i="26"/>
  <c r="O396" i="1" s="1"/>
  <c r="L21" i="26"/>
  <c r="K21" i="26"/>
  <c r="J21" i="26"/>
  <c r="I21" i="26"/>
  <c r="H21" i="26"/>
  <c r="G21" i="26"/>
  <c r="F21" i="26"/>
  <c r="E21" i="26"/>
  <c r="D21" i="26"/>
  <c r="B21" i="26"/>
  <c r="A21" i="26"/>
  <c r="S20" i="26"/>
  <c r="R20" i="26"/>
  <c r="Q20" i="26"/>
  <c r="P20" i="26"/>
  <c r="O20" i="26"/>
  <c r="Q395" i="1" s="1"/>
  <c r="N20" i="26"/>
  <c r="M20" i="26"/>
  <c r="L20" i="26"/>
  <c r="K20" i="26"/>
  <c r="J20" i="26"/>
  <c r="I20" i="26"/>
  <c r="H20" i="26"/>
  <c r="G20" i="26"/>
  <c r="F20" i="26"/>
  <c r="E20" i="26"/>
  <c r="D20" i="26"/>
  <c r="B20" i="26"/>
  <c r="A20" i="26"/>
  <c r="S19" i="26"/>
  <c r="R19" i="26"/>
  <c r="Q19" i="26"/>
  <c r="S394" i="1" s="1"/>
  <c r="P19" i="26"/>
  <c r="O19" i="26"/>
  <c r="N19" i="26"/>
  <c r="M19" i="26"/>
  <c r="L19" i="26"/>
  <c r="K19" i="26"/>
  <c r="J19" i="26"/>
  <c r="I19" i="26"/>
  <c r="H19" i="26"/>
  <c r="G19" i="26"/>
  <c r="F19" i="26"/>
  <c r="E19" i="26"/>
  <c r="D19" i="26"/>
  <c r="B19" i="26"/>
  <c r="A19" i="26"/>
  <c r="S18" i="26"/>
  <c r="U393" i="1" s="1"/>
  <c r="R18" i="26"/>
  <c r="Q18" i="26"/>
  <c r="P18" i="26"/>
  <c r="O18" i="26"/>
  <c r="N18" i="26"/>
  <c r="M18" i="26"/>
  <c r="L18" i="26"/>
  <c r="K18" i="26"/>
  <c r="J18" i="26"/>
  <c r="I18" i="26"/>
  <c r="H18" i="26"/>
  <c r="G18" i="26"/>
  <c r="F18" i="26"/>
  <c r="E18" i="26"/>
  <c r="D18" i="26"/>
  <c r="B18" i="26"/>
  <c r="A18" i="26"/>
  <c r="S17" i="26"/>
  <c r="R17" i="26"/>
  <c r="Q17" i="26"/>
  <c r="P17" i="26"/>
  <c r="O17" i="26"/>
  <c r="N17" i="26"/>
  <c r="M17" i="26"/>
  <c r="L17" i="26"/>
  <c r="K17" i="26"/>
  <c r="J17" i="26"/>
  <c r="I17" i="26"/>
  <c r="H17" i="26"/>
  <c r="G17" i="26"/>
  <c r="F17" i="26"/>
  <c r="E17" i="26"/>
  <c r="G392" i="1" s="1"/>
  <c r="D17" i="26"/>
  <c r="B17" i="26"/>
  <c r="A17" i="26"/>
  <c r="S16" i="26"/>
  <c r="R16" i="26"/>
  <c r="Q16" i="26"/>
  <c r="P16" i="26"/>
  <c r="O16" i="26"/>
  <c r="N16" i="26"/>
  <c r="M16" i="26"/>
  <c r="L16" i="26"/>
  <c r="K16" i="26"/>
  <c r="J16" i="26"/>
  <c r="I16" i="26"/>
  <c r="H16" i="26"/>
  <c r="G16" i="26"/>
  <c r="I391" i="1" s="1"/>
  <c r="F16" i="26"/>
  <c r="E16" i="26"/>
  <c r="D16" i="26"/>
  <c r="B16" i="26"/>
  <c r="A16" i="26"/>
  <c r="S15" i="26"/>
  <c r="R15" i="26"/>
  <c r="Q15" i="26"/>
  <c r="P15" i="26"/>
  <c r="O15" i="26"/>
  <c r="N15" i="26"/>
  <c r="M15" i="26"/>
  <c r="L15" i="26"/>
  <c r="K15" i="26"/>
  <c r="J15" i="26"/>
  <c r="I15" i="26"/>
  <c r="K390" i="1" s="1"/>
  <c r="H15" i="26"/>
  <c r="G15" i="26"/>
  <c r="F15" i="26"/>
  <c r="E15" i="26"/>
  <c r="D15" i="26"/>
  <c r="B15" i="26"/>
  <c r="A15" i="26"/>
  <c r="S14" i="26"/>
  <c r="R14" i="26"/>
  <c r="Q14" i="26"/>
  <c r="P14" i="26"/>
  <c r="O14" i="26"/>
  <c r="N14" i="26"/>
  <c r="M14" i="26"/>
  <c r="L14" i="26"/>
  <c r="K14" i="26"/>
  <c r="M389" i="1" s="1"/>
  <c r="J14" i="26"/>
  <c r="I14" i="26"/>
  <c r="H14" i="26"/>
  <c r="G14" i="26"/>
  <c r="F14" i="26"/>
  <c r="E14" i="26"/>
  <c r="D14" i="26"/>
  <c r="B14" i="26"/>
  <c r="A14" i="26"/>
  <c r="S13" i="26"/>
  <c r="R13" i="26"/>
  <c r="Q13" i="26"/>
  <c r="P13" i="26"/>
  <c r="O13" i="26"/>
  <c r="N13" i="26"/>
  <c r="M13" i="26"/>
  <c r="O388" i="1" s="1"/>
  <c r="L13" i="26"/>
  <c r="K13" i="26"/>
  <c r="J13" i="26"/>
  <c r="I13" i="26"/>
  <c r="H13" i="26"/>
  <c r="G13" i="26"/>
  <c r="F13" i="26"/>
  <c r="E13" i="26"/>
  <c r="D13" i="26"/>
  <c r="B13" i="26"/>
  <c r="A13" i="26"/>
  <c r="S12" i="26"/>
  <c r="R12" i="26"/>
  <c r="Q12" i="26"/>
  <c r="P12" i="26"/>
  <c r="O12" i="26"/>
  <c r="Q387" i="1" s="1"/>
  <c r="N12" i="26"/>
  <c r="M12" i="26"/>
  <c r="L12" i="26"/>
  <c r="K12" i="26"/>
  <c r="J12" i="26"/>
  <c r="I12" i="26"/>
  <c r="H12" i="26"/>
  <c r="G12" i="26"/>
  <c r="F12" i="26"/>
  <c r="E12" i="26"/>
  <c r="D12" i="26"/>
  <c r="B12" i="26"/>
  <c r="A12" i="26"/>
  <c r="S11" i="26"/>
  <c r="R11" i="26"/>
  <c r="Q11" i="26"/>
  <c r="S386" i="1" s="1"/>
  <c r="P11" i="26"/>
  <c r="O11" i="26"/>
  <c r="N11" i="26"/>
  <c r="M11" i="26"/>
  <c r="L11" i="26"/>
  <c r="K11" i="26"/>
  <c r="J11" i="26"/>
  <c r="I11" i="26"/>
  <c r="H11" i="26"/>
  <c r="G11" i="26"/>
  <c r="F11" i="26"/>
  <c r="E11" i="26"/>
  <c r="D11" i="26"/>
  <c r="B11" i="26"/>
  <c r="A11" i="26"/>
  <c r="S10" i="26"/>
  <c r="U385" i="1" s="1"/>
  <c r="R10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/>
  <c r="B10" i="26"/>
  <c r="D385" i="1" s="1"/>
  <c r="A10" i="26"/>
  <c r="S9" i="26"/>
  <c r="R9" i="26"/>
  <c r="Q9" i="26"/>
  <c r="P9" i="26"/>
  <c r="O9" i="26"/>
  <c r="N9" i="26"/>
  <c r="M9" i="26"/>
  <c r="L9" i="26"/>
  <c r="K9" i="26"/>
  <c r="J9" i="26"/>
  <c r="I9" i="26"/>
  <c r="H9" i="26"/>
  <c r="G9" i="26"/>
  <c r="F9" i="26"/>
  <c r="E9" i="26"/>
  <c r="G384" i="1" s="1"/>
  <c r="D9" i="26"/>
  <c r="B9" i="26"/>
  <c r="A9" i="26"/>
  <c r="S8" i="26"/>
  <c r="R8" i="26"/>
  <c r="Q8" i="26"/>
  <c r="P8" i="26"/>
  <c r="O8" i="26"/>
  <c r="N8" i="26"/>
  <c r="M8" i="26"/>
  <c r="L8" i="26"/>
  <c r="K8" i="26"/>
  <c r="J8" i="26"/>
  <c r="I8" i="26"/>
  <c r="H8" i="26"/>
  <c r="G8" i="26"/>
  <c r="I383" i="1" s="1"/>
  <c r="F8" i="26"/>
  <c r="E8" i="26"/>
  <c r="D8" i="26"/>
  <c r="B8" i="26"/>
  <c r="A8" i="26"/>
  <c r="S7" i="26"/>
  <c r="R7" i="26"/>
  <c r="Q7" i="26"/>
  <c r="P7" i="26"/>
  <c r="O7" i="26"/>
  <c r="N7" i="26"/>
  <c r="M7" i="26"/>
  <c r="L7" i="26"/>
  <c r="K7" i="26"/>
  <c r="J7" i="26"/>
  <c r="I7" i="26"/>
  <c r="K382" i="1" s="1"/>
  <c r="H7" i="26"/>
  <c r="G7" i="26"/>
  <c r="F7" i="26"/>
  <c r="E7" i="26"/>
  <c r="D7" i="26"/>
  <c r="B7" i="26"/>
  <c r="S6" i="26"/>
  <c r="R6" i="26"/>
  <c r="Q6" i="26"/>
  <c r="P6" i="26"/>
  <c r="O6" i="26"/>
  <c r="N6" i="26"/>
  <c r="M6" i="26"/>
  <c r="L6" i="26"/>
  <c r="K6" i="26"/>
  <c r="J6" i="26"/>
  <c r="I6" i="26"/>
  <c r="H6" i="26"/>
  <c r="G6" i="26"/>
  <c r="F6" i="26"/>
  <c r="E6" i="26"/>
  <c r="D6" i="26"/>
  <c r="B6" i="26"/>
  <c r="A6" i="26"/>
  <c r="S5" i="26"/>
  <c r="R5" i="26"/>
  <c r="Q5" i="26"/>
  <c r="P5" i="26"/>
  <c r="O5" i="26"/>
  <c r="N5" i="26"/>
  <c r="M5" i="26"/>
  <c r="L5" i="26"/>
  <c r="K5" i="26"/>
  <c r="J5" i="26"/>
  <c r="I5" i="26"/>
  <c r="H5" i="26"/>
  <c r="G5" i="26"/>
  <c r="F5" i="26"/>
  <c r="E5" i="26"/>
  <c r="D5" i="26"/>
  <c r="B5" i="26"/>
  <c r="A5" i="26"/>
  <c r="S4" i="26"/>
  <c r="R4" i="26"/>
  <c r="Q4" i="26"/>
  <c r="P4" i="26"/>
  <c r="O4" i="26"/>
  <c r="N4" i="26"/>
  <c r="M4" i="26"/>
  <c r="L4" i="26"/>
  <c r="K4" i="26"/>
  <c r="J4" i="26"/>
  <c r="I4" i="26"/>
  <c r="H4" i="26"/>
  <c r="G4" i="26"/>
  <c r="F4" i="26"/>
  <c r="E4" i="26"/>
  <c r="D4" i="26"/>
  <c r="B4" i="26"/>
  <c r="A4" i="26"/>
  <c r="S3" i="26"/>
  <c r="R3" i="26"/>
  <c r="Q3" i="26"/>
  <c r="P3" i="26"/>
  <c r="O3" i="26"/>
  <c r="N3" i="26"/>
  <c r="M3" i="26"/>
  <c r="L3" i="26"/>
  <c r="K3" i="26"/>
  <c r="J3" i="26"/>
  <c r="I3" i="26"/>
  <c r="H3" i="26"/>
  <c r="G3" i="26"/>
  <c r="F3" i="26"/>
  <c r="E3" i="26"/>
  <c r="D3" i="26"/>
  <c r="B3" i="26"/>
  <c r="A3" i="26"/>
  <c r="S2" i="26"/>
  <c r="R2" i="26"/>
  <c r="Q2" i="26"/>
  <c r="P2" i="26"/>
  <c r="O2" i="26"/>
  <c r="N2" i="26"/>
  <c r="M2" i="26"/>
  <c r="L2" i="26"/>
  <c r="K2" i="26"/>
  <c r="J2" i="26"/>
  <c r="I2" i="26"/>
  <c r="H2" i="26"/>
  <c r="G2" i="26"/>
  <c r="F2" i="26"/>
  <c r="E2" i="26"/>
  <c r="D2" i="26"/>
  <c r="B2" i="26"/>
  <c r="A2" i="26"/>
  <c r="S1" i="26"/>
  <c r="R1" i="26"/>
  <c r="Q1" i="26"/>
  <c r="P1" i="26"/>
  <c r="O1" i="26"/>
  <c r="N1" i="26"/>
  <c r="M1" i="26"/>
  <c r="L1" i="26"/>
  <c r="K1" i="26"/>
  <c r="J1" i="26"/>
  <c r="I1" i="26"/>
  <c r="H1" i="26"/>
  <c r="G1" i="26"/>
  <c r="F1" i="26"/>
  <c r="E1" i="26"/>
  <c r="D1" i="26"/>
  <c r="C1" i="26"/>
  <c r="B1" i="26"/>
  <c r="A1" i="26"/>
  <c r="S19" i="25"/>
  <c r="R19" i="25"/>
  <c r="Q19" i="25"/>
  <c r="P19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B19" i="25"/>
  <c r="A19" i="25"/>
  <c r="S18" i="25"/>
  <c r="R18" i="25"/>
  <c r="Q18" i="25"/>
  <c r="P18" i="25"/>
  <c r="O18" i="25"/>
  <c r="N18" i="25"/>
  <c r="M18" i="25"/>
  <c r="L18" i="25"/>
  <c r="K18" i="25"/>
  <c r="J18" i="25"/>
  <c r="I18" i="25"/>
  <c r="H18" i="25"/>
  <c r="G18" i="25"/>
  <c r="F18" i="25"/>
  <c r="E18" i="25"/>
  <c r="D18" i="25"/>
  <c r="B18" i="25"/>
  <c r="A18" i="25"/>
  <c r="S17" i="25"/>
  <c r="R17" i="25"/>
  <c r="Q17" i="25"/>
  <c r="P17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B17" i="25"/>
  <c r="A17" i="25"/>
  <c r="S16" i="25"/>
  <c r="R16" i="25"/>
  <c r="Q16" i="25"/>
  <c r="P16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B16" i="25"/>
  <c r="A16" i="25"/>
  <c r="S15" i="25"/>
  <c r="R15" i="25"/>
  <c r="Q15" i="25"/>
  <c r="P15" i="25"/>
  <c r="O15" i="25"/>
  <c r="N15" i="25"/>
  <c r="M15" i="25"/>
  <c r="L15" i="25"/>
  <c r="K15" i="25"/>
  <c r="J15" i="25"/>
  <c r="I15" i="25"/>
  <c r="H15" i="25"/>
  <c r="G15" i="25"/>
  <c r="F15" i="25"/>
  <c r="E15" i="25"/>
  <c r="D15" i="25"/>
  <c r="B15" i="25"/>
  <c r="A15" i="25"/>
  <c r="S14" i="25"/>
  <c r="R14" i="25"/>
  <c r="Q14" i="25"/>
  <c r="P14" i="25"/>
  <c r="O14" i="25"/>
  <c r="N14" i="25"/>
  <c r="M14" i="25"/>
  <c r="L14" i="25"/>
  <c r="K14" i="25"/>
  <c r="J14" i="25"/>
  <c r="I14" i="25"/>
  <c r="H14" i="25"/>
  <c r="G14" i="25"/>
  <c r="F14" i="25"/>
  <c r="E14" i="25"/>
  <c r="D14" i="25"/>
  <c r="B14" i="25"/>
  <c r="A14" i="25"/>
  <c r="S13" i="25"/>
  <c r="R13" i="25"/>
  <c r="Q13" i="25"/>
  <c r="P13" i="25"/>
  <c r="O13" i="25"/>
  <c r="N13" i="25"/>
  <c r="M13" i="25"/>
  <c r="L13" i="25"/>
  <c r="K13" i="25"/>
  <c r="J13" i="25"/>
  <c r="I13" i="25"/>
  <c r="H13" i="25"/>
  <c r="G13" i="25"/>
  <c r="F13" i="25"/>
  <c r="E13" i="25"/>
  <c r="D13" i="25"/>
  <c r="B13" i="25"/>
  <c r="A13" i="25"/>
  <c r="S12" i="25"/>
  <c r="R12" i="25"/>
  <c r="Q12" i="25"/>
  <c r="P12" i="25"/>
  <c r="O12" i="25"/>
  <c r="N12" i="25"/>
  <c r="M12" i="25"/>
  <c r="L12" i="25"/>
  <c r="K12" i="25"/>
  <c r="J12" i="25"/>
  <c r="I12" i="25"/>
  <c r="H12" i="25"/>
  <c r="G12" i="25"/>
  <c r="F12" i="25"/>
  <c r="E12" i="25"/>
  <c r="D12" i="25"/>
  <c r="B12" i="25"/>
  <c r="A12" i="25"/>
  <c r="S11" i="25"/>
  <c r="R11" i="25"/>
  <c r="Q11" i="25"/>
  <c r="P11" i="25"/>
  <c r="O11" i="25"/>
  <c r="N11" i="25"/>
  <c r="M11" i="25"/>
  <c r="L11" i="25"/>
  <c r="K11" i="25"/>
  <c r="J11" i="25"/>
  <c r="I11" i="25"/>
  <c r="H11" i="25"/>
  <c r="G11" i="25"/>
  <c r="F11" i="25"/>
  <c r="E11" i="25"/>
  <c r="D11" i="25"/>
  <c r="B11" i="25"/>
  <c r="A11" i="25"/>
  <c r="S10" i="25"/>
  <c r="R10" i="25"/>
  <c r="Q10" i="25"/>
  <c r="P10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B10" i="25"/>
  <c r="A10" i="25"/>
  <c r="S9" i="25"/>
  <c r="R9" i="25"/>
  <c r="Q9" i="25"/>
  <c r="P9" i="25"/>
  <c r="O9" i="25"/>
  <c r="N9" i="25"/>
  <c r="M9" i="25"/>
  <c r="L9" i="25"/>
  <c r="K9" i="25"/>
  <c r="J9" i="25"/>
  <c r="I9" i="25"/>
  <c r="H9" i="25"/>
  <c r="G9" i="25"/>
  <c r="F9" i="25"/>
  <c r="E9" i="25"/>
  <c r="D9" i="25"/>
  <c r="B9" i="25"/>
  <c r="A9" i="25"/>
  <c r="S8" i="25"/>
  <c r="R8" i="25"/>
  <c r="Q8" i="25"/>
  <c r="P8" i="25"/>
  <c r="O8" i="25"/>
  <c r="N8" i="25"/>
  <c r="M8" i="25"/>
  <c r="L8" i="25"/>
  <c r="K8" i="25"/>
  <c r="J8" i="25"/>
  <c r="I8" i="25"/>
  <c r="H8" i="25"/>
  <c r="G8" i="25"/>
  <c r="F8" i="25"/>
  <c r="E8" i="25"/>
  <c r="D8" i="25"/>
  <c r="B8" i="25"/>
  <c r="A8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7" i="25"/>
  <c r="A7" i="25"/>
  <c r="S6" i="25"/>
  <c r="R6" i="25"/>
  <c r="Q6" i="25"/>
  <c r="P6" i="25"/>
  <c r="O6" i="25"/>
  <c r="N6" i="25"/>
  <c r="M6" i="25"/>
  <c r="L6" i="25"/>
  <c r="K6" i="25"/>
  <c r="J6" i="25"/>
  <c r="I6" i="25"/>
  <c r="H6" i="25"/>
  <c r="G6" i="25"/>
  <c r="F6" i="25"/>
  <c r="E6" i="25"/>
  <c r="D6" i="25"/>
  <c r="B6" i="25"/>
  <c r="A6" i="25"/>
  <c r="S5" i="25"/>
  <c r="R5" i="25"/>
  <c r="Q5" i="25"/>
  <c r="P5" i="25"/>
  <c r="O5" i="25"/>
  <c r="N5" i="25"/>
  <c r="M5" i="25"/>
  <c r="L5" i="25"/>
  <c r="K5" i="25"/>
  <c r="J5" i="25"/>
  <c r="I5" i="25"/>
  <c r="H5" i="25"/>
  <c r="G5" i="25"/>
  <c r="F5" i="25"/>
  <c r="E5" i="25"/>
  <c r="D5" i="25"/>
  <c r="B5" i="25"/>
  <c r="A5" i="25"/>
  <c r="S4" i="25"/>
  <c r="R4" i="25"/>
  <c r="Q4" i="25"/>
  <c r="P4" i="25"/>
  <c r="O4" i="25"/>
  <c r="N4" i="25"/>
  <c r="M4" i="25"/>
  <c r="L4" i="25"/>
  <c r="K4" i="25"/>
  <c r="J4" i="25"/>
  <c r="I4" i="25"/>
  <c r="H4" i="25"/>
  <c r="G4" i="25"/>
  <c r="F4" i="25"/>
  <c r="E4" i="25"/>
  <c r="D4" i="25"/>
  <c r="B4" i="25"/>
  <c r="A4" i="25"/>
  <c r="S3" i="25"/>
  <c r="R3" i="25"/>
  <c r="Q3" i="25"/>
  <c r="P3" i="25"/>
  <c r="O3" i="25"/>
  <c r="N3" i="25"/>
  <c r="M3" i="25"/>
  <c r="L3" i="25"/>
  <c r="K3" i="25"/>
  <c r="J3" i="25"/>
  <c r="I3" i="25"/>
  <c r="H3" i="25"/>
  <c r="G3" i="25"/>
  <c r="F3" i="25"/>
  <c r="E3" i="25"/>
  <c r="D3" i="25"/>
  <c r="B3" i="25"/>
  <c r="A3" i="25"/>
  <c r="S2" i="25"/>
  <c r="R2" i="25"/>
  <c r="Q2" i="25"/>
  <c r="P2" i="25"/>
  <c r="O2" i="25"/>
  <c r="N2" i="25"/>
  <c r="M2" i="25"/>
  <c r="L2" i="25"/>
  <c r="K2" i="25"/>
  <c r="J2" i="25"/>
  <c r="I2" i="25"/>
  <c r="H2" i="25"/>
  <c r="G2" i="25"/>
  <c r="F2" i="25"/>
  <c r="E2" i="25"/>
  <c r="D2" i="25"/>
  <c r="B2" i="25"/>
  <c r="A2" i="25"/>
  <c r="S1" i="25"/>
  <c r="R1" i="25"/>
  <c r="Q1" i="25"/>
  <c r="P1" i="25"/>
  <c r="O1" i="25"/>
  <c r="N1" i="25"/>
  <c r="M1" i="25"/>
  <c r="L1" i="25"/>
  <c r="K1" i="25"/>
  <c r="J1" i="25"/>
  <c r="I1" i="25"/>
  <c r="H1" i="25"/>
  <c r="G1" i="25"/>
  <c r="F1" i="25"/>
  <c r="E1" i="25"/>
  <c r="D1" i="25"/>
  <c r="C1" i="25"/>
  <c r="B1" i="25"/>
  <c r="A1" i="25"/>
  <c r="S39" i="24"/>
  <c r="R39" i="24"/>
  <c r="Q39" i="24"/>
  <c r="P39" i="24"/>
  <c r="O39" i="24"/>
  <c r="N39" i="24"/>
  <c r="P358" i="1" s="1"/>
  <c r="M39" i="24"/>
  <c r="L39" i="24"/>
  <c r="K39" i="24"/>
  <c r="J39" i="24"/>
  <c r="I39" i="24"/>
  <c r="H39" i="24"/>
  <c r="G39" i="24"/>
  <c r="F39" i="24"/>
  <c r="E39" i="24"/>
  <c r="D39" i="24"/>
  <c r="B39" i="24"/>
  <c r="A39" i="24"/>
  <c r="S38" i="24"/>
  <c r="R38" i="24"/>
  <c r="Q38" i="24"/>
  <c r="P38" i="24"/>
  <c r="R357" i="1" s="1"/>
  <c r="O38" i="24"/>
  <c r="N38" i="24"/>
  <c r="M38" i="24"/>
  <c r="L38" i="24"/>
  <c r="K38" i="24"/>
  <c r="J38" i="24"/>
  <c r="I38" i="24"/>
  <c r="H38" i="24"/>
  <c r="G38" i="24"/>
  <c r="F38" i="24"/>
  <c r="E38" i="24"/>
  <c r="D38" i="24"/>
  <c r="B38" i="24"/>
  <c r="A38" i="24"/>
  <c r="S37" i="24"/>
  <c r="R37" i="24"/>
  <c r="T356" i="1" s="1"/>
  <c r="Q37" i="24"/>
  <c r="P37" i="24"/>
  <c r="O37" i="24"/>
  <c r="N37" i="24"/>
  <c r="M37" i="24"/>
  <c r="L37" i="24"/>
  <c r="K37" i="24"/>
  <c r="J37" i="24"/>
  <c r="I37" i="24"/>
  <c r="H37" i="24"/>
  <c r="G37" i="24"/>
  <c r="F37" i="24"/>
  <c r="E37" i="24"/>
  <c r="D37" i="24"/>
  <c r="B37" i="24"/>
  <c r="A37" i="24"/>
  <c r="S36" i="24"/>
  <c r="R36" i="24"/>
  <c r="Q36" i="24"/>
  <c r="P36" i="24"/>
  <c r="O36" i="24"/>
  <c r="N36" i="24"/>
  <c r="M36" i="24"/>
  <c r="L36" i="24"/>
  <c r="K36" i="24"/>
  <c r="J36" i="24"/>
  <c r="I36" i="24"/>
  <c r="H36" i="24"/>
  <c r="G36" i="24"/>
  <c r="F36" i="24"/>
  <c r="E36" i="24"/>
  <c r="D36" i="24"/>
  <c r="F355" i="1" s="1"/>
  <c r="B36" i="24"/>
  <c r="A36" i="24"/>
  <c r="S35" i="24"/>
  <c r="R35" i="24"/>
  <c r="Q35" i="24"/>
  <c r="P35" i="24"/>
  <c r="O35" i="24"/>
  <c r="N35" i="24"/>
  <c r="M35" i="24"/>
  <c r="L35" i="24"/>
  <c r="K35" i="24"/>
  <c r="J35" i="24"/>
  <c r="I35" i="24"/>
  <c r="H35" i="24"/>
  <c r="G35" i="24"/>
  <c r="F35" i="24"/>
  <c r="H354" i="1" s="1"/>
  <c r="E35" i="24"/>
  <c r="D35" i="24"/>
  <c r="B35" i="24"/>
  <c r="A35" i="24"/>
  <c r="S34" i="24"/>
  <c r="R34" i="24"/>
  <c r="Q34" i="24"/>
  <c r="P34" i="24"/>
  <c r="O34" i="24"/>
  <c r="N34" i="24"/>
  <c r="M34" i="24"/>
  <c r="L34" i="24"/>
  <c r="K34" i="24"/>
  <c r="J34" i="24"/>
  <c r="I34" i="24"/>
  <c r="H34" i="24"/>
  <c r="J353" i="1" s="1"/>
  <c r="G34" i="24"/>
  <c r="F34" i="24"/>
  <c r="E34" i="24"/>
  <c r="D34" i="24"/>
  <c r="B34" i="24"/>
  <c r="A34" i="24"/>
  <c r="S33" i="24"/>
  <c r="R33" i="24"/>
  <c r="Q33" i="24"/>
  <c r="P33" i="24"/>
  <c r="O33" i="24"/>
  <c r="N33" i="24"/>
  <c r="M33" i="24"/>
  <c r="L33" i="24"/>
  <c r="K33" i="24"/>
  <c r="J33" i="24"/>
  <c r="L352" i="1" s="1"/>
  <c r="I33" i="24"/>
  <c r="H33" i="24"/>
  <c r="G33" i="24"/>
  <c r="F33" i="24"/>
  <c r="E33" i="24"/>
  <c r="D33" i="24"/>
  <c r="B33" i="24"/>
  <c r="A33" i="24"/>
  <c r="S32" i="24"/>
  <c r="R32" i="24"/>
  <c r="Q32" i="24"/>
  <c r="P32" i="24"/>
  <c r="O32" i="24"/>
  <c r="N32" i="24"/>
  <c r="M32" i="24"/>
  <c r="L32" i="24"/>
  <c r="N351" i="1" s="1"/>
  <c r="K32" i="24"/>
  <c r="J32" i="24"/>
  <c r="I32" i="24"/>
  <c r="H32" i="24"/>
  <c r="G32" i="24"/>
  <c r="F32" i="24"/>
  <c r="E32" i="24"/>
  <c r="D32" i="24"/>
  <c r="B32" i="24"/>
  <c r="A32" i="24"/>
  <c r="S31" i="24"/>
  <c r="R31" i="24"/>
  <c r="Q31" i="24"/>
  <c r="P31" i="24"/>
  <c r="O31" i="24"/>
  <c r="N31" i="24"/>
  <c r="M31" i="24"/>
  <c r="L31" i="24"/>
  <c r="K31" i="24"/>
  <c r="M43" i="3" s="1"/>
  <c r="J31" i="24"/>
  <c r="I31" i="24"/>
  <c r="H31" i="24"/>
  <c r="G31" i="24"/>
  <c r="F31" i="24"/>
  <c r="E31" i="24"/>
  <c r="D31" i="24"/>
  <c r="B31" i="24"/>
  <c r="A31" i="24"/>
  <c r="S30" i="24"/>
  <c r="R30" i="24"/>
  <c r="Q30" i="24"/>
  <c r="P30" i="24"/>
  <c r="O30" i="24"/>
  <c r="N30" i="24"/>
  <c r="M30" i="24"/>
  <c r="O42" i="3" s="1"/>
  <c r="L30" i="24"/>
  <c r="K30" i="24"/>
  <c r="J30" i="24"/>
  <c r="I30" i="24"/>
  <c r="H30" i="24"/>
  <c r="G30" i="24"/>
  <c r="F30" i="24"/>
  <c r="E30" i="24"/>
  <c r="D30" i="24"/>
  <c r="B30" i="24"/>
  <c r="A30" i="24"/>
  <c r="S29" i="24"/>
  <c r="R29" i="24"/>
  <c r="Q29" i="24"/>
  <c r="P29" i="24"/>
  <c r="O29" i="24"/>
  <c r="Q41" i="3" s="1"/>
  <c r="N29" i="24"/>
  <c r="M29" i="24"/>
  <c r="L29" i="24"/>
  <c r="K29" i="24"/>
  <c r="J29" i="24"/>
  <c r="I29" i="24"/>
  <c r="H29" i="24"/>
  <c r="G29" i="24"/>
  <c r="F29" i="24"/>
  <c r="E29" i="24"/>
  <c r="D29" i="24"/>
  <c r="B29" i="24"/>
  <c r="A29" i="24"/>
  <c r="S28" i="24"/>
  <c r="R28" i="24"/>
  <c r="Q28" i="24"/>
  <c r="S40" i="3" s="1"/>
  <c r="P28" i="24"/>
  <c r="O28" i="24"/>
  <c r="N28" i="24"/>
  <c r="M28" i="24"/>
  <c r="L28" i="24"/>
  <c r="K28" i="24"/>
  <c r="J28" i="24"/>
  <c r="I28" i="24"/>
  <c r="H28" i="24"/>
  <c r="G28" i="24"/>
  <c r="F28" i="24"/>
  <c r="E28" i="24"/>
  <c r="D28" i="24"/>
  <c r="B28" i="24"/>
  <c r="A28" i="24"/>
  <c r="S27" i="24"/>
  <c r="U39" i="3" s="1"/>
  <c r="R27" i="24"/>
  <c r="Q27" i="24"/>
  <c r="P27" i="24"/>
  <c r="O27" i="24"/>
  <c r="N27" i="24"/>
  <c r="M27" i="24"/>
  <c r="L27" i="24"/>
  <c r="K27" i="24"/>
  <c r="J27" i="24"/>
  <c r="I27" i="24"/>
  <c r="H27" i="24"/>
  <c r="G27" i="24"/>
  <c r="F27" i="24"/>
  <c r="E27" i="24"/>
  <c r="D27" i="24"/>
  <c r="B27" i="24"/>
  <c r="D39" i="3" s="1"/>
  <c r="A27" i="24"/>
  <c r="S26" i="24"/>
  <c r="R26" i="24"/>
  <c r="Q26" i="24"/>
  <c r="P26" i="24"/>
  <c r="O26" i="24"/>
  <c r="N26" i="24"/>
  <c r="M26" i="24"/>
  <c r="L26" i="24"/>
  <c r="K26" i="24"/>
  <c r="J26" i="24"/>
  <c r="I26" i="24"/>
  <c r="H26" i="24"/>
  <c r="G26" i="24"/>
  <c r="F26" i="24"/>
  <c r="E26" i="24"/>
  <c r="G38" i="3" s="1"/>
  <c r="D26" i="24"/>
  <c r="B26" i="24"/>
  <c r="A26" i="24"/>
  <c r="S25" i="24"/>
  <c r="R25" i="24"/>
  <c r="Q25" i="24"/>
  <c r="P25" i="24"/>
  <c r="O25" i="24"/>
  <c r="N25" i="24"/>
  <c r="M25" i="24"/>
  <c r="L25" i="24"/>
  <c r="K25" i="24"/>
  <c r="J25" i="24"/>
  <c r="I25" i="24"/>
  <c r="H25" i="24"/>
  <c r="G25" i="24"/>
  <c r="I37" i="3" s="1"/>
  <c r="F25" i="24"/>
  <c r="E25" i="24"/>
  <c r="D25" i="24"/>
  <c r="B25" i="24"/>
  <c r="A25" i="24"/>
  <c r="S24" i="24"/>
  <c r="R24" i="24"/>
  <c r="Q24" i="24"/>
  <c r="P24" i="24"/>
  <c r="O24" i="24"/>
  <c r="N24" i="24"/>
  <c r="M24" i="24"/>
  <c r="L24" i="24"/>
  <c r="K24" i="24"/>
  <c r="J24" i="24"/>
  <c r="I24" i="24"/>
  <c r="K36" i="3" s="1"/>
  <c r="H24" i="24"/>
  <c r="G24" i="24"/>
  <c r="F24" i="24"/>
  <c r="E24" i="24"/>
  <c r="D24" i="24"/>
  <c r="B24" i="24"/>
  <c r="A24" i="24"/>
  <c r="S23" i="24"/>
  <c r="R23" i="24"/>
  <c r="Q23" i="24"/>
  <c r="P23" i="24"/>
  <c r="O23" i="24"/>
  <c r="N23" i="24"/>
  <c r="M23" i="24"/>
  <c r="L23" i="24"/>
  <c r="K23" i="24"/>
  <c r="M35" i="3" s="1"/>
  <c r="J23" i="24"/>
  <c r="I23" i="24"/>
  <c r="H23" i="24"/>
  <c r="G23" i="24"/>
  <c r="F23" i="24"/>
  <c r="E23" i="24"/>
  <c r="D23" i="24"/>
  <c r="B23" i="24"/>
  <c r="A23" i="24"/>
  <c r="S22" i="24"/>
  <c r="R22" i="24"/>
  <c r="Q22" i="24"/>
  <c r="P22" i="24"/>
  <c r="O22" i="24"/>
  <c r="N22" i="24"/>
  <c r="M22" i="24"/>
  <c r="O34" i="3" s="1"/>
  <c r="L22" i="24"/>
  <c r="K22" i="24"/>
  <c r="J22" i="24"/>
  <c r="I22" i="24"/>
  <c r="H22" i="24"/>
  <c r="G22" i="24"/>
  <c r="F22" i="24"/>
  <c r="E22" i="24"/>
  <c r="D22" i="24"/>
  <c r="B22" i="24"/>
  <c r="A22" i="24"/>
  <c r="S21" i="24"/>
  <c r="R21" i="24"/>
  <c r="Q21" i="24"/>
  <c r="P21" i="24"/>
  <c r="O21" i="24"/>
  <c r="Q33" i="3" s="1"/>
  <c r="N21" i="24"/>
  <c r="M21" i="24"/>
  <c r="L21" i="24"/>
  <c r="K21" i="24"/>
  <c r="J21" i="24"/>
  <c r="I21" i="24"/>
  <c r="H21" i="24"/>
  <c r="G21" i="24"/>
  <c r="F21" i="24"/>
  <c r="E21" i="24"/>
  <c r="D21" i="24"/>
  <c r="B21" i="24"/>
  <c r="A21" i="24"/>
  <c r="S20" i="24"/>
  <c r="R20" i="24"/>
  <c r="Q20" i="24"/>
  <c r="S32" i="3" s="1"/>
  <c r="P20" i="24"/>
  <c r="O20" i="24"/>
  <c r="N20" i="24"/>
  <c r="M20" i="24"/>
  <c r="L20" i="24"/>
  <c r="K20" i="24"/>
  <c r="J20" i="24"/>
  <c r="I20" i="24"/>
  <c r="H20" i="24"/>
  <c r="G20" i="24"/>
  <c r="F20" i="24"/>
  <c r="E20" i="24"/>
  <c r="D20" i="24"/>
  <c r="B20" i="24"/>
  <c r="A20" i="24"/>
  <c r="S19" i="24"/>
  <c r="U31" i="3" s="1"/>
  <c r="R19" i="24"/>
  <c r="Q19" i="24"/>
  <c r="P19" i="24"/>
  <c r="O19" i="24"/>
  <c r="N19" i="24"/>
  <c r="M19" i="24"/>
  <c r="L19" i="24"/>
  <c r="K19" i="24"/>
  <c r="J19" i="24"/>
  <c r="I19" i="24"/>
  <c r="H19" i="24"/>
  <c r="G19" i="24"/>
  <c r="F19" i="24"/>
  <c r="E19" i="24"/>
  <c r="D19" i="24"/>
  <c r="B19" i="24"/>
  <c r="D31" i="3" s="1"/>
  <c r="A19" i="24"/>
  <c r="S18" i="24"/>
  <c r="R18" i="24"/>
  <c r="Q18" i="24"/>
  <c r="P18" i="24"/>
  <c r="O18" i="24"/>
  <c r="N18" i="24"/>
  <c r="M18" i="24"/>
  <c r="L18" i="24"/>
  <c r="K18" i="24"/>
  <c r="J18" i="24"/>
  <c r="I18" i="24"/>
  <c r="H18" i="24"/>
  <c r="G18" i="24"/>
  <c r="F18" i="24"/>
  <c r="E18" i="24"/>
  <c r="G30" i="3" s="1"/>
  <c r="D18" i="24"/>
  <c r="B18" i="24"/>
  <c r="A18" i="24"/>
  <c r="S17" i="24"/>
  <c r="R17" i="24"/>
  <c r="Q17" i="24"/>
  <c r="P17" i="24"/>
  <c r="O17" i="24"/>
  <c r="N17" i="24"/>
  <c r="M17" i="24"/>
  <c r="L17" i="24"/>
  <c r="K17" i="24"/>
  <c r="J17" i="24"/>
  <c r="I17" i="24"/>
  <c r="H17" i="24"/>
  <c r="G17" i="24"/>
  <c r="I29" i="3" s="1"/>
  <c r="F17" i="24"/>
  <c r="E17" i="24"/>
  <c r="D17" i="24"/>
  <c r="B17" i="24"/>
  <c r="A17" i="24"/>
  <c r="S16" i="24"/>
  <c r="R16" i="24"/>
  <c r="Q16" i="24"/>
  <c r="P16" i="24"/>
  <c r="O16" i="24"/>
  <c r="N16" i="24"/>
  <c r="M16" i="24"/>
  <c r="L16" i="24"/>
  <c r="K16" i="24"/>
  <c r="J16" i="24"/>
  <c r="I16" i="24"/>
  <c r="K28" i="3" s="1"/>
  <c r="H16" i="24"/>
  <c r="G16" i="24"/>
  <c r="F16" i="24"/>
  <c r="E16" i="24"/>
  <c r="D16" i="24"/>
  <c r="B16" i="24"/>
  <c r="A16" i="24"/>
  <c r="S15" i="24"/>
  <c r="R15" i="24"/>
  <c r="Q15" i="24"/>
  <c r="P15" i="24"/>
  <c r="O15" i="24"/>
  <c r="N15" i="24"/>
  <c r="M15" i="24"/>
  <c r="L15" i="24"/>
  <c r="K15" i="24"/>
  <c r="M27" i="3" s="1"/>
  <c r="J15" i="24"/>
  <c r="I15" i="24"/>
  <c r="H15" i="24"/>
  <c r="G15" i="24"/>
  <c r="F15" i="24"/>
  <c r="E15" i="24"/>
  <c r="D15" i="24"/>
  <c r="B15" i="24"/>
  <c r="A15" i="24"/>
  <c r="S14" i="24"/>
  <c r="R14" i="24"/>
  <c r="Q14" i="24"/>
  <c r="P14" i="24"/>
  <c r="O14" i="24"/>
  <c r="N14" i="24"/>
  <c r="M14" i="24"/>
  <c r="O26" i="3" s="1"/>
  <c r="L14" i="24"/>
  <c r="K14" i="24"/>
  <c r="J14" i="24"/>
  <c r="I14" i="24"/>
  <c r="H14" i="24"/>
  <c r="G14" i="24"/>
  <c r="F14" i="24"/>
  <c r="E14" i="24"/>
  <c r="D14" i="24"/>
  <c r="B14" i="24"/>
  <c r="A14" i="24"/>
  <c r="S13" i="24"/>
  <c r="R13" i="24"/>
  <c r="Q13" i="24"/>
  <c r="P13" i="24"/>
  <c r="O13" i="24"/>
  <c r="Q25" i="3" s="1"/>
  <c r="N13" i="24"/>
  <c r="M13" i="24"/>
  <c r="L13" i="24"/>
  <c r="K13" i="24"/>
  <c r="J13" i="24"/>
  <c r="I13" i="24"/>
  <c r="H13" i="24"/>
  <c r="G13" i="24"/>
  <c r="F13" i="24"/>
  <c r="E13" i="24"/>
  <c r="D13" i="24"/>
  <c r="B13" i="24"/>
  <c r="A13" i="24"/>
  <c r="S12" i="24"/>
  <c r="R12" i="24"/>
  <c r="Q12" i="24"/>
  <c r="S24" i="3" s="1"/>
  <c r="P12" i="24"/>
  <c r="O12" i="24"/>
  <c r="N12" i="24"/>
  <c r="M12" i="24"/>
  <c r="L12" i="24"/>
  <c r="K12" i="24"/>
  <c r="J12" i="24"/>
  <c r="I12" i="24"/>
  <c r="H12" i="24"/>
  <c r="G12" i="24"/>
  <c r="F12" i="24"/>
  <c r="E12" i="24"/>
  <c r="D12" i="24"/>
  <c r="B12" i="24"/>
  <c r="A12" i="24"/>
  <c r="S11" i="24"/>
  <c r="U23" i="3" s="1"/>
  <c r="R11" i="24"/>
  <c r="Q11" i="24"/>
  <c r="P11" i="24"/>
  <c r="O11" i="24"/>
  <c r="N11" i="24"/>
  <c r="M11" i="24"/>
  <c r="L11" i="24"/>
  <c r="K11" i="24"/>
  <c r="J11" i="24"/>
  <c r="I11" i="24"/>
  <c r="H11" i="24"/>
  <c r="G11" i="24"/>
  <c r="F11" i="24"/>
  <c r="E11" i="24"/>
  <c r="D11" i="24"/>
  <c r="B11" i="24"/>
  <c r="D23" i="3" s="1"/>
  <c r="A11" i="24"/>
  <c r="S10" i="24"/>
  <c r="R10" i="24"/>
  <c r="Q10" i="24"/>
  <c r="P10" i="24"/>
  <c r="O10" i="24"/>
  <c r="N10" i="24"/>
  <c r="M10" i="24"/>
  <c r="L10" i="24"/>
  <c r="K10" i="24"/>
  <c r="J10" i="24"/>
  <c r="I10" i="24"/>
  <c r="H10" i="24"/>
  <c r="G10" i="24"/>
  <c r="F10" i="24"/>
  <c r="E10" i="24"/>
  <c r="G22" i="3" s="1"/>
  <c r="D10" i="24"/>
  <c r="B10" i="24"/>
  <c r="A10" i="24"/>
  <c r="S9" i="24"/>
  <c r="R9" i="24"/>
  <c r="Q9" i="24"/>
  <c r="P9" i="24"/>
  <c r="O9" i="24"/>
  <c r="N9" i="24"/>
  <c r="M9" i="24"/>
  <c r="L9" i="24"/>
  <c r="K9" i="24"/>
  <c r="J9" i="24"/>
  <c r="I9" i="24"/>
  <c r="H9" i="24"/>
  <c r="G9" i="24"/>
  <c r="I21" i="3" s="1"/>
  <c r="F9" i="24"/>
  <c r="E9" i="24"/>
  <c r="D9" i="24"/>
  <c r="B9" i="24"/>
  <c r="A9" i="24"/>
  <c r="S8" i="24"/>
  <c r="R8" i="24"/>
  <c r="Q8" i="24"/>
  <c r="P8" i="24"/>
  <c r="O8" i="24"/>
  <c r="N8" i="24"/>
  <c r="M8" i="24"/>
  <c r="L8" i="24"/>
  <c r="K8" i="24"/>
  <c r="J8" i="24"/>
  <c r="I8" i="24"/>
  <c r="K20" i="3" s="1"/>
  <c r="H8" i="24"/>
  <c r="G8" i="24"/>
  <c r="F8" i="24"/>
  <c r="E8" i="24"/>
  <c r="D8" i="24"/>
  <c r="B8" i="24"/>
  <c r="A8" i="24"/>
  <c r="S7" i="24"/>
  <c r="R7" i="24"/>
  <c r="Q7" i="24"/>
  <c r="P7" i="24"/>
  <c r="O7" i="24"/>
  <c r="N7" i="24"/>
  <c r="M7" i="24"/>
  <c r="L7" i="24"/>
  <c r="K7" i="24"/>
  <c r="M19" i="3" s="1"/>
  <c r="J7" i="24"/>
  <c r="I7" i="24"/>
  <c r="H7" i="24"/>
  <c r="G7" i="24"/>
  <c r="F7" i="24"/>
  <c r="E7" i="24"/>
  <c r="D7" i="24"/>
  <c r="B7" i="24"/>
  <c r="A7" i="24"/>
  <c r="S6" i="24"/>
  <c r="R6" i="24"/>
  <c r="Q6" i="24"/>
  <c r="P6" i="24"/>
  <c r="O6" i="24"/>
  <c r="N6" i="24"/>
  <c r="M6" i="24"/>
  <c r="O18" i="3" s="1"/>
  <c r="L6" i="24"/>
  <c r="K6" i="24"/>
  <c r="J6" i="24"/>
  <c r="I6" i="24"/>
  <c r="H6" i="24"/>
  <c r="G6" i="24"/>
  <c r="F6" i="24"/>
  <c r="E6" i="24"/>
  <c r="D6" i="24"/>
  <c r="B6" i="24"/>
  <c r="A6" i="24"/>
  <c r="S5" i="24"/>
  <c r="R5" i="24"/>
  <c r="Q5" i="24"/>
  <c r="P5" i="24"/>
  <c r="O5" i="24"/>
  <c r="Q17" i="3" s="1"/>
  <c r="N5" i="24"/>
  <c r="M5" i="24"/>
  <c r="L5" i="24"/>
  <c r="K5" i="24"/>
  <c r="J5" i="24"/>
  <c r="I5" i="24"/>
  <c r="H5" i="24"/>
  <c r="G5" i="24"/>
  <c r="F5" i="24"/>
  <c r="E5" i="24"/>
  <c r="D5" i="24"/>
  <c r="B5" i="24"/>
  <c r="A5" i="24"/>
  <c r="S4" i="24"/>
  <c r="R4" i="24"/>
  <c r="Q4" i="24"/>
  <c r="S16" i="3" s="1"/>
  <c r="P4" i="24"/>
  <c r="O4" i="24"/>
  <c r="N4" i="24"/>
  <c r="M4" i="24"/>
  <c r="L4" i="24"/>
  <c r="K4" i="24"/>
  <c r="J4" i="24"/>
  <c r="I4" i="24"/>
  <c r="H4" i="24"/>
  <c r="G4" i="24"/>
  <c r="F4" i="24"/>
  <c r="E4" i="24"/>
  <c r="D4" i="24"/>
  <c r="B4" i="24"/>
  <c r="A4" i="24"/>
  <c r="S3" i="24"/>
  <c r="U15" i="3" s="1"/>
  <c r="R3" i="24"/>
  <c r="Q3" i="24"/>
  <c r="P3" i="24"/>
  <c r="O3" i="24"/>
  <c r="N3" i="24"/>
  <c r="M3" i="24"/>
  <c r="L3" i="24"/>
  <c r="K3" i="24"/>
  <c r="J3" i="24"/>
  <c r="I3" i="24"/>
  <c r="H3" i="24"/>
  <c r="G3" i="24"/>
  <c r="F3" i="24"/>
  <c r="E3" i="24"/>
  <c r="D3" i="24"/>
  <c r="B3" i="24"/>
  <c r="D15" i="3" s="1"/>
  <c r="A3" i="24"/>
  <c r="S2" i="24"/>
  <c r="R2" i="24"/>
  <c r="Q2" i="24"/>
  <c r="P2" i="24"/>
  <c r="O2" i="24"/>
  <c r="N2" i="24"/>
  <c r="M2" i="24"/>
  <c r="L2" i="24"/>
  <c r="K2" i="24"/>
  <c r="J2" i="24"/>
  <c r="I2" i="24"/>
  <c r="H2" i="24"/>
  <c r="G2" i="24"/>
  <c r="F2" i="24"/>
  <c r="E2" i="24"/>
  <c r="G14" i="3" s="1"/>
  <c r="D2" i="24"/>
  <c r="B2" i="24"/>
  <c r="A2" i="24"/>
  <c r="S1" i="24"/>
  <c r="R1" i="24"/>
  <c r="Q1" i="24"/>
  <c r="P1" i="24"/>
  <c r="O1" i="24"/>
  <c r="N1" i="24"/>
  <c r="M1" i="24"/>
  <c r="L1" i="24"/>
  <c r="K1" i="24"/>
  <c r="J1" i="24"/>
  <c r="I1" i="24"/>
  <c r="H1" i="24"/>
  <c r="G1" i="24"/>
  <c r="F1" i="24"/>
  <c r="E1" i="24"/>
  <c r="D1" i="24"/>
  <c r="C1" i="24"/>
  <c r="B1" i="24"/>
  <c r="A1" i="24"/>
  <c r="S87" i="23"/>
  <c r="R87" i="23"/>
  <c r="Q87" i="23"/>
  <c r="P87" i="23"/>
  <c r="O87" i="23"/>
  <c r="N87" i="23"/>
  <c r="M87" i="23"/>
  <c r="O320" i="1" s="1"/>
  <c r="L87" i="23"/>
  <c r="K87" i="23"/>
  <c r="J87" i="23"/>
  <c r="L320" i="1" s="1"/>
  <c r="I87" i="23"/>
  <c r="H87" i="23"/>
  <c r="G87" i="23"/>
  <c r="F87" i="23"/>
  <c r="E87" i="23"/>
  <c r="D87" i="23"/>
  <c r="B87" i="23"/>
  <c r="A87" i="23"/>
  <c r="S86" i="23"/>
  <c r="R86" i="23"/>
  <c r="Q86" i="23"/>
  <c r="P86" i="23"/>
  <c r="O86" i="23"/>
  <c r="Q319" i="1" s="1"/>
  <c r="N86" i="23"/>
  <c r="M86" i="23"/>
  <c r="L86" i="23"/>
  <c r="N319" i="1" s="1"/>
  <c r="K86" i="23"/>
  <c r="J86" i="23"/>
  <c r="I86" i="23"/>
  <c r="H86" i="23"/>
  <c r="G86" i="23"/>
  <c r="F86" i="23"/>
  <c r="E86" i="23"/>
  <c r="D86" i="23"/>
  <c r="B86" i="23"/>
  <c r="A86" i="23"/>
  <c r="S85" i="23"/>
  <c r="R85" i="23"/>
  <c r="Q85" i="23"/>
  <c r="S318" i="1" s="1"/>
  <c r="P85" i="23"/>
  <c r="O85" i="23"/>
  <c r="N85" i="23"/>
  <c r="P318" i="1" s="1"/>
  <c r="M85" i="23"/>
  <c r="L85" i="23"/>
  <c r="K85" i="23"/>
  <c r="J85" i="23"/>
  <c r="I85" i="23"/>
  <c r="H85" i="23"/>
  <c r="G85" i="23"/>
  <c r="F85" i="23"/>
  <c r="E85" i="23"/>
  <c r="D85" i="23"/>
  <c r="B85" i="23"/>
  <c r="A85" i="23"/>
  <c r="S84" i="23"/>
  <c r="U317" i="1" s="1"/>
  <c r="R84" i="23"/>
  <c r="Q84" i="23"/>
  <c r="P84" i="23"/>
  <c r="R317" i="1" s="1"/>
  <c r="O84" i="23"/>
  <c r="N84" i="23"/>
  <c r="M84" i="23"/>
  <c r="L84" i="23"/>
  <c r="K84" i="23"/>
  <c r="J84" i="23"/>
  <c r="I84" i="23"/>
  <c r="H84" i="23"/>
  <c r="G84" i="23"/>
  <c r="F84" i="23"/>
  <c r="E84" i="23"/>
  <c r="D84" i="23"/>
  <c r="B84" i="23"/>
  <c r="D317" i="1" s="1"/>
  <c r="A84" i="23"/>
  <c r="S83" i="23"/>
  <c r="R83" i="23"/>
  <c r="T316" i="1" s="1"/>
  <c r="Q83" i="23"/>
  <c r="P83" i="23"/>
  <c r="O83" i="23"/>
  <c r="N83" i="23"/>
  <c r="M83" i="23"/>
  <c r="L83" i="23"/>
  <c r="K83" i="23"/>
  <c r="J83" i="23"/>
  <c r="I83" i="23"/>
  <c r="H83" i="23"/>
  <c r="G83" i="23"/>
  <c r="F83" i="23"/>
  <c r="E83" i="23"/>
  <c r="G316" i="1" s="1"/>
  <c r="D83" i="23"/>
  <c r="B83" i="23"/>
  <c r="A83" i="23"/>
  <c r="S82" i="23"/>
  <c r="R82" i="23"/>
  <c r="Q82" i="23"/>
  <c r="P82" i="23"/>
  <c r="O82" i="23"/>
  <c r="N82" i="23"/>
  <c r="M82" i="23"/>
  <c r="L82" i="23"/>
  <c r="K82" i="23"/>
  <c r="J82" i="23"/>
  <c r="I82" i="23"/>
  <c r="H82" i="23"/>
  <c r="G82" i="23"/>
  <c r="I315" i="1" s="1"/>
  <c r="F82" i="23"/>
  <c r="E82" i="23"/>
  <c r="D82" i="23"/>
  <c r="F315" i="1" s="1"/>
  <c r="B82" i="23"/>
  <c r="A82" i="23"/>
  <c r="S81" i="23"/>
  <c r="R81" i="23"/>
  <c r="Q81" i="23"/>
  <c r="P81" i="23"/>
  <c r="O81" i="23"/>
  <c r="N81" i="23"/>
  <c r="M81" i="23"/>
  <c r="L81" i="23"/>
  <c r="K81" i="23"/>
  <c r="J81" i="23"/>
  <c r="I81" i="23"/>
  <c r="K314" i="1" s="1"/>
  <c r="H81" i="23"/>
  <c r="G81" i="23"/>
  <c r="F81" i="23"/>
  <c r="H314" i="1" s="1"/>
  <c r="E81" i="23"/>
  <c r="D81" i="23"/>
  <c r="B81" i="23"/>
  <c r="A81" i="23"/>
  <c r="S80" i="23"/>
  <c r="R80" i="23"/>
  <c r="Q80" i="23"/>
  <c r="P80" i="23"/>
  <c r="O80" i="23"/>
  <c r="N80" i="23"/>
  <c r="M80" i="23"/>
  <c r="L80" i="23"/>
  <c r="K80" i="23"/>
  <c r="M313" i="1" s="1"/>
  <c r="J80" i="23"/>
  <c r="I80" i="23"/>
  <c r="H80" i="23"/>
  <c r="J313" i="1" s="1"/>
  <c r="G80" i="23"/>
  <c r="F80" i="23"/>
  <c r="E80" i="23"/>
  <c r="D80" i="23"/>
  <c r="B80" i="23"/>
  <c r="A80" i="23"/>
  <c r="S79" i="23"/>
  <c r="R79" i="23"/>
  <c r="Q79" i="23"/>
  <c r="P79" i="23"/>
  <c r="O79" i="23"/>
  <c r="N79" i="23"/>
  <c r="M79" i="23"/>
  <c r="O312" i="1" s="1"/>
  <c r="L79" i="23"/>
  <c r="K79" i="23"/>
  <c r="J79" i="23"/>
  <c r="L312" i="1" s="1"/>
  <c r="I79" i="23"/>
  <c r="H79" i="23"/>
  <c r="G79" i="23"/>
  <c r="F79" i="23"/>
  <c r="E79" i="23"/>
  <c r="D79" i="23"/>
  <c r="B79" i="23"/>
  <c r="A79" i="23"/>
  <c r="S78" i="23"/>
  <c r="R78" i="23"/>
  <c r="Q78" i="23"/>
  <c r="P78" i="23"/>
  <c r="O78" i="23"/>
  <c r="N78" i="23"/>
  <c r="M78" i="23"/>
  <c r="L78" i="23"/>
  <c r="N311" i="1" s="1"/>
  <c r="K78" i="23"/>
  <c r="J78" i="23"/>
  <c r="I78" i="23"/>
  <c r="H78" i="23"/>
  <c r="G78" i="23"/>
  <c r="F78" i="23"/>
  <c r="E78" i="23"/>
  <c r="D78" i="23"/>
  <c r="B78" i="23"/>
  <c r="A78" i="23"/>
  <c r="S77" i="23"/>
  <c r="R77" i="23"/>
  <c r="Q77" i="23"/>
  <c r="P77" i="23"/>
  <c r="O77" i="23"/>
  <c r="N77" i="23"/>
  <c r="P310" i="1" s="1"/>
  <c r="M77" i="23"/>
  <c r="L77" i="23"/>
  <c r="K77" i="23"/>
  <c r="J77" i="23"/>
  <c r="I77" i="23"/>
  <c r="H77" i="23"/>
  <c r="G77" i="23"/>
  <c r="F77" i="23"/>
  <c r="E77" i="23"/>
  <c r="D77" i="23"/>
  <c r="B77" i="23"/>
  <c r="A77" i="23"/>
  <c r="S76" i="23"/>
  <c r="R76" i="23"/>
  <c r="Q76" i="23"/>
  <c r="P76" i="23"/>
  <c r="R309" i="1" s="1"/>
  <c r="O76" i="23"/>
  <c r="N76" i="23"/>
  <c r="M76" i="23"/>
  <c r="L76" i="23"/>
  <c r="K76" i="23"/>
  <c r="J76" i="23"/>
  <c r="I76" i="23"/>
  <c r="H76" i="23"/>
  <c r="G76" i="23"/>
  <c r="F76" i="23"/>
  <c r="E76" i="23"/>
  <c r="D76" i="23"/>
  <c r="B76" i="23"/>
  <c r="D309" i="1" s="1"/>
  <c r="A76" i="23"/>
  <c r="S75" i="23"/>
  <c r="R75" i="23"/>
  <c r="T308" i="1" s="1"/>
  <c r="Q75" i="23"/>
  <c r="P75" i="23"/>
  <c r="O75" i="23"/>
  <c r="N75" i="23"/>
  <c r="M75" i="23"/>
  <c r="L75" i="23"/>
  <c r="K75" i="23"/>
  <c r="J75" i="23"/>
  <c r="I75" i="23"/>
  <c r="H75" i="23"/>
  <c r="G75" i="23"/>
  <c r="F75" i="23"/>
  <c r="E75" i="23"/>
  <c r="G308" i="1" s="1"/>
  <c r="D75" i="23"/>
  <c r="B75" i="23"/>
  <c r="A75" i="23"/>
  <c r="S74" i="23"/>
  <c r="R74" i="23"/>
  <c r="Q74" i="23"/>
  <c r="P74" i="23"/>
  <c r="O74" i="23"/>
  <c r="N74" i="23"/>
  <c r="M74" i="23"/>
  <c r="L74" i="23"/>
  <c r="K74" i="23"/>
  <c r="J74" i="23"/>
  <c r="I74" i="23"/>
  <c r="H74" i="23"/>
  <c r="G74" i="23"/>
  <c r="I307" i="1" s="1"/>
  <c r="F74" i="23"/>
  <c r="E74" i="23"/>
  <c r="D74" i="23"/>
  <c r="F307" i="1" s="1"/>
  <c r="B74" i="23"/>
  <c r="A74" i="23"/>
  <c r="S73" i="23"/>
  <c r="R73" i="23"/>
  <c r="Q73" i="23"/>
  <c r="P73" i="23"/>
  <c r="O73" i="23"/>
  <c r="N73" i="23"/>
  <c r="M73" i="23"/>
  <c r="L73" i="23"/>
  <c r="K73" i="23"/>
  <c r="J73" i="23"/>
  <c r="I73" i="23"/>
  <c r="K306" i="1" s="1"/>
  <c r="H73" i="23"/>
  <c r="G73" i="23"/>
  <c r="F73" i="23"/>
  <c r="H306" i="1" s="1"/>
  <c r="E73" i="23"/>
  <c r="D73" i="23"/>
  <c r="B73" i="23"/>
  <c r="A73" i="23"/>
  <c r="S72" i="23"/>
  <c r="R72" i="23"/>
  <c r="Q72" i="23"/>
  <c r="P72" i="23"/>
  <c r="O72" i="23"/>
  <c r="N72" i="23"/>
  <c r="M72" i="23"/>
  <c r="L72" i="23"/>
  <c r="K72" i="23"/>
  <c r="M305" i="1" s="1"/>
  <c r="J72" i="23"/>
  <c r="I72" i="23"/>
  <c r="H72" i="23"/>
  <c r="J305" i="1" s="1"/>
  <c r="G72" i="23"/>
  <c r="F72" i="23"/>
  <c r="E72" i="23"/>
  <c r="D72" i="23"/>
  <c r="B72" i="23"/>
  <c r="A72" i="23"/>
  <c r="S71" i="23"/>
  <c r="R71" i="23"/>
  <c r="Q71" i="23"/>
  <c r="P71" i="23"/>
  <c r="O71" i="23"/>
  <c r="N71" i="23"/>
  <c r="M71" i="23"/>
  <c r="O304" i="1" s="1"/>
  <c r="L71" i="23"/>
  <c r="K71" i="23"/>
  <c r="J71" i="23"/>
  <c r="L304" i="1" s="1"/>
  <c r="I71" i="23"/>
  <c r="H71" i="23"/>
  <c r="G71" i="23"/>
  <c r="F71" i="23"/>
  <c r="E71" i="23"/>
  <c r="D71" i="23"/>
  <c r="B71" i="23"/>
  <c r="A71" i="23"/>
  <c r="S70" i="23"/>
  <c r="R70" i="23"/>
  <c r="Q70" i="23"/>
  <c r="P70" i="23"/>
  <c r="O70" i="23"/>
  <c r="Q303" i="1" s="1"/>
  <c r="N70" i="23"/>
  <c r="M70" i="23"/>
  <c r="L70" i="23"/>
  <c r="N303" i="1" s="1"/>
  <c r="K70" i="23"/>
  <c r="J70" i="23"/>
  <c r="I70" i="23"/>
  <c r="H70" i="23"/>
  <c r="G70" i="23"/>
  <c r="F70" i="23"/>
  <c r="E70" i="23"/>
  <c r="D70" i="23"/>
  <c r="B70" i="23"/>
  <c r="A70" i="23"/>
  <c r="S69" i="23"/>
  <c r="R69" i="23"/>
  <c r="Q69" i="23"/>
  <c r="S302" i="1" s="1"/>
  <c r="P69" i="23"/>
  <c r="O69" i="23"/>
  <c r="N69" i="23"/>
  <c r="P302" i="1" s="1"/>
  <c r="M69" i="23"/>
  <c r="L69" i="23"/>
  <c r="K69" i="23"/>
  <c r="J69" i="23"/>
  <c r="I69" i="23"/>
  <c r="H69" i="23"/>
  <c r="G69" i="23"/>
  <c r="F69" i="23"/>
  <c r="E69" i="23"/>
  <c r="D69" i="23"/>
  <c r="B69" i="23"/>
  <c r="A69" i="23"/>
  <c r="S68" i="23"/>
  <c r="U301" i="1" s="1"/>
  <c r="R68" i="23"/>
  <c r="Q68" i="23"/>
  <c r="P68" i="23"/>
  <c r="R301" i="1" s="1"/>
  <c r="O68" i="23"/>
  <c r="N68" i="23"/>
  <c r="M68" i="23"/>
  <c r="L68" i="23"/>
  <c r="K68" i="23"/>
  <c r="J68" i="23"/>
  <c r="I68" i="23"/>
  <c r="H68" i="23"/>
  <c r="G68" i="23"/>
  <c r="F68" i="23"/>
  <c r="E68" i="23"/>
  <c r="D68" i="23"/>
  <c r="B68" i="23"/>
  <c r="D301" i="1" s="1"/>
  <c r="A68" i="23"/>
  <c r="S67" i="23"/>
  <c r="R67" i="23"/>
  <c r="T300" i="1" s="1"/>
  <c r="Q67" i="23"/>
  <c r="P67" i="23"/>
  <c r="O67" i="23"/>
  <c r="N67" i="23"/>
  <c r="M67" i="23"/>
  <c r="L67" i="23"/>
  <c r="K67" i="23"/>
  <c r="J67" i="23"/>
  <c r="I67" i="23"/>
  <c r="H67" i="23"/>
  <c r="G67" i="23"/>
  <c r="F67" i="23"/>
  <c r="E67" i="23"/>
  <c r="G300" i="1" s="1"/>
  <c r="D67" i="23"/>
  <c r="B67" i="23"/>
  <c r="A67" i="23"/>
  <c r="S66" i="23"/>
  <c r="R66" i="23"/>
  <c r="Q66" i="23"/>
  <c r="P66" i="23"/>
  <c r="O66" i="23"/>
  <c r="N66" i="23"/>
  <c r="M66" i="23"/>
  <c r="L66" i="23"/>
  <c r="K66" i="23"/>
  <c r="J66" i="23"/>
  <c r="I66" i="23"/>
  <c r="H66" i="23"/>
  <c r="G66" i="23"/>
  <c r="I299" i="1" s="1"/>
  <c r="F66" i="23"/>
  <c r="E66" i="23"/>
  <c r="D66" i="23"/>
  <c r="F299" i="1" s="1"/>
  <c r="B66" i="23"/>
  <c r="A66" i="23"/>
  <c r="S65" i="23"/>
  <c r="R65" i="23"/>
  <c r="Q65" i="23"/>
  <c r="P65" i="23"/>
  <c r="O65" i="23"/>
  <c r="N65" i="23"/>
  <c r="M65" i="23"/>
  <c r="L65" i="23"/>
  <c r="K65" i="23"/>
  <c r="J65" i="23"/>
  <c r="I65" i="23"/>
  <c r="K298" i="1" s="1"/>
  <c r="H65" i="23"/>
  <c r="G65" i="23"/>
  <c r="F65" i="23"/>
  <c r="H298" i="1" s="1"/>
  <c r="E65" i="23"/>
  <c r="D65" i="23"/>
  <c r="B65" i="23"/>
  <c r="A65" i="23"/>
  <c r="S64" i="23"/>
  <c r="R64" i="23"/>
  <c r="Q64" i="23"/>
  <c r="P64" i="23"/>
  <c r="O64" i="23"/>
  <c r="N64" i="23"/>
  <c r="M64" i="23"/>
  <c r="L64" i="23"/>
  <c r="K64" i="23"/>
  <c r="M297" i="1" s="1"/>
  <c r="J64" i="23"/>
  <c r="I64" i="23"/>
  <c r="H64" i="23"/>
  <c r="J297" i="1" s="1"/>
  <c r="G64" i="23"/>
  <c r="F64" i="23"/>
  <c r="E64" i="23"/>
  <c r="D64" i="23"/>
  <c r="B64" i="23"/>
  <c r="A64" i="23"/>
  <c r="S63" i="23"/>
  <c r="R63" i="23"/>
  <c r="Q63" i="23"/>
  <c r="P63" i="23"/>
  <c r="O63" i="23"/>
  <c r="N63" i="23"/>
  <c r="M63" i="23"/>
  <c r="O296" i="1" s="1"/>
  <c r="L63" i="23"/>
  <c r="K63" i="23"/>
  <c r="J63" i="23"/>
  <c r="L296" i="1" s="1"/>
  <c r="I63" i="23"/>
  <c r="H63" i="23"/>
  <c r="G63" i="23"/>
  <c r="F63" i="23"/>
  <c r="E63" i="23"/>
  <c r="D63" i="23"/>
  <c r="B63" i="23"/>
  <c r="A63" i="23"/>
  <c r="S62" i="23"/>
  <c r="R62" i="23"/>
  <c r="Q62" i="23"/>
  <c r="P62" i="23"/>
  <c r="O62" i="23"/>
  <c r="Q295" i="1" s="1"/>
  <c r="N62" i="23"/>
  <c r="M62" i="23"/>
  <c r="L62" i="23"/>
  <c r="N295" i="1" s="1"/>
  <c r="K62" i="23"/>
  <c r="J62" i="23"/>
  <c r="I62" i="23"/>
  <c r="H62" i="23"/>
  <c r="G62" i="23"/>
  <c r="F62" i="23"/>
  <c r="E62" i="23"/>
  <c r="D62" i="23"/>
  <c r="B62" i="23"/>
  <c r="A62" i="23"/>
  <c r="S61" i="23"/>
  <c r="R61" i="23"/>
  <c r="Q61" i="23"/>
  <c r="S294" i="1" s="1"/>
  <c r="P61" i="23"/>
  <c r="O61" i="23"/>
  <c r="N61" i="23"/>
  <c r="P294" i="1" s="1"/>
  <c r="M61" i="23"/>
  <c r="L61" i="23"/>
  <c r="K61" i="23"/>
  <c r="J61" i="23"/>
  <c r="I61" i="23"/>
  <c r="H61" i="23"/>
  <c r="G61" i="23"/>
  <c r="F61" i="23"/>
  <c r="E61" i="23"/>
  <c r="D61" i="23"/>
  <c r="B61" i="23"/>
  <c r="A61" i="23"/>
  <c r="S60" i="23"/>
  <c r="U293" i="1" s="1"/>
  <c r="R60" i="23"/>
  <c r="Q60" i="23"/>
  <c r="P60" i="23"/>
  <c r="R293" i="1" s="1"/>
  <c r="O60" i="23"/>
  <c r="N60" i="23"/>
  <c r="M60" i="23"/>
  <c r="L60" i="23"/>
  <c r="K60" i="23"/>
  <c r="J60" i="23"/>
  <c r="I60" i="23"/>
  <c r="H60" i="23"/>
  <c r="G60" i="23"/>
  <c r="F60" i="23"/>
  <c r="E60" i="23"/>
  <c r="D60" i="23"/>
  <c r="B60" i="23"/>
  <c r="D293" i="1" s="1"/>
  <c r="A60" i="23"/>
  <c r="S59" i="23"/>
  <c r="R59" i="23"/>
  <c r="T292" i="1" s="1"/>
  <c r="Q59" i="23"/>
  <c r="P59" i="23"/>
  <c r="O59" i="23"/>
  <c r="N59" i="23"/>
  <c r="M59" i="23"/>
  <c r="L59" i="23"/>
  <c r="K59" i="23"/>
  <c r="J59" i="23"/>
  <c r="I59" i="23"/>
  <c r="H59" i="23"/>
  <c r="G59" i="23"/>
  <c r="F59" i="23"/>
  <c r="E59" i="23"/>
  <c r="G292" i="1" s="1"/>
  <c r="D59" i="23"/>
  <c r="B59" i="23"/>
  <c r="A59" i="23"/>
  <c r="S58" i="23"/>
  <c r="R58" i="23"/>
  <c r="Q58" i="23"/>
  <c r="P58" i="23"/>
  <c r="O58" i="23"/>
  <c r="N58" i="23"/>
  <c r="M58" i="23"/>
  <c r="L58" i="23"/>
  <c r="K58" i="23"/>
  <c r="J58" i="23"/>
  <c r="I58" i="23"/>
  <c r="H58" i="23"/>
  <c r="G58" i="23"/>
  <c r="I291" i="1" s="1"/>
  <c r="F58" i="23"/>
  <c r="E58" i="23"/>
  <c r="D58" i="23"/>
  <c r="F291" i="1" s="1"/>
  <c r="B58" i="23"/>
  <c r="A58" i="23"/>
  <c r="S57" i="23"/>
  <c r="R57" i="23"/>
  <c r="Q57" i="23"/>
  <c r="P57" i="23"/>
  <c r="O57" i="23"/>
  <c r="N57" i="23"/>
  <c r="M57" i="23"/>
  <c r="L57" i="23"/>
  <c r="K57" i="23"/>
  <c r="J57" i="23"/>
  <c r="I57" i="23"/>
  <c r="K290" i="1" s="1"/>
  <c r="H57" i="23"/>
  <c r="G57" i="23"/>
  <c r="F57" i="23"/>
  <c r="H290" i="1" s="1"/>
  <c r="E57" i="23"/>
  <c r="D57" i="23"/>
  <c r="B57" i="23"/>
  <c r="A57" i="23"/>
  <c r="S56" i="23"/>
  <c r="R56" i="23"/>
  <c r="Q56" i="23"/>
  <c r="P56" i="23"/>
  <c r="O56" i="23"/>
  <c r="N56" i="23"/>
  <c r="M56" i="23"/>
  <c r="L56" i="23"/>
  <c r="K56" i="23"/>
  <c r="M289" i="1" s="1"/>
  <c r="J56" i="23"/>
  <c r="I56" i="23"/>
  <c r="H56" i="23"/>
  <c r="J289" i="1" s="1"/>
  <c r="G56" i="23"/>
  <c r="F56" i="23"/>
  <c r="E56" i="23"/>
  <c r="D56" i="23"/>
  <c r="B56" i="23"/>
  <c r="A56" i="23"/>
  <c r="S55" i="23"/>
  <c r="R55" i="23"/>
  <c r="Q55" i="23"/>
  <c r="P55" i="23"/>
  <c r="O55" i="23"/>
  <c r="N55" i="23"/>
  <c r="M55" i="23"/>
  <c r="O288" i="1" s="1"/>
  <c r="L55" i="23"/>
  <c r="K55" i="23"/>
  <c r="J55" i="23"/>
  <c r="L288" i="1" s="1"/>
  <c r="I55" i="23"/>
  <c r="H55" i="23"/>
  <c r="G55" i="23"/>
  <c r="F55" i="23"/>
  <c r="E55" i="23"/>
  <c r="D55" i="23"/>
  <c r="B55" i="23"/>
  <c r="A55" i="23"/>
  <c r="S54" i="23"/>
  <c r="R54" i="23"/>
  <c r="Q54" i="23"/>
  <c r="P54" i="23"/>
  <c r="O54" i="23"/>
  <c r="Q287" i="1" s="1"/>
  <c r="N54" i="23"/>
  <c r="M54" i="23"/>
  <c r="L54" i="23"/>
  <c r="N287" i="1" s="1"/>
  <c r="K54" i="23"/>
  <c r="J54" i="23"/>
  <c r="I54" i="23"/>
  <c r="H54" i="23"/>
  <c r="G54" i="23"/>
  <c r="F54" i="23"/>
  <c r="E54" i="23"/>
  <c r="D54" i="23"/>
  <c r="B54" i="23"/>
  <c r="A54" i="23"/>
  <c r="S53" i="23"/>
  <c r="R53" i="23"/>
  <c r="Q53" i="23"/>
  <c r="S286" i="1" s="1"/>
  <c r="P53" i="23"/>
  <c r="O53" i="23"/>
  <c r="N53" i="23"/>
  <c r="P286" i="1" s="1"/>
  <c r="M53" i="23"/>
  <c r="L53" i="23"/>
  <c r="K53" i="23"/>
  <c r="J53" i="23"/>
  <c r="I53" i="23"/>
  <c r="H53" i="23"/>
  <c r="G53" i="23"/>
  <c r="F53" i="23"/>
  <c r="E53" i="23"/>
  <c r="D53" i="23"/>
  <c r="B53" i="23"/>
  <c r="A53" i="23"/>
  <c r="S52" i="23"/>
  <c r="U285" i="1" s="1"/>
  <c r="R52" i="23"/>
  <c r="Q52" i="23"/>
  <c r="P52" i="23"/>
  <c r="R285" i="1" s="1"/>
  <c r="O52" i="23"/>
  <c r="N52" i="23"/>
  <c r="M52" i="23"/>
  <c r="L52" i="23"/>
  <c r="K52" i="23"/>
  <c r="J52" i="23"/>
  <c r="I52" i="23"/>
  <c r="H52" i="23"/>
  <c r="G52" i="23"/>
  <c r="F52" i="23"/>
  <c r="E52" i="23"/>
  <c r="D52" i="23"/>
  <c r="B52" i="23"/>
  <c r="D285" i="1" s="1"/>
  <c r="A52" i="23"/>
  <c r="S51" i="23"/>
  <c r="R51" i="23"/>
  <c r="T284" i="1" s="1"/>
  <c r="Q51" i="23"/>
  <c r="P51" i="23"/>
  <c r="O51" i="23"/>
  <c r="N51" i="23"/>
  <c r="M51" i="23"/>
  <c r="L51" i="23"/>
  <c r="K51" i="23"/>
  <c r="J51" i="23"/>
  <c r="I51" i="23"/>
  <c r="H51" i="23"/>
  <c r="G51" i="23"/>
  <c r="F51" i="23"/>
  <c r="E51" i="23"/>
  <c r="G284" i="1" s="1"/>
  <c r="D51" i="23"/>
  <c r="B51" i="23"/>
  <c r="A51" i="23"/>
  <c r="S50" i="23"/>
  <c r="R50" i="23"/>
  <c r="Q50" i="23"/>
  <c r="P50" i="23"/>
  <c r="O50" i="23"/>
  <c r="N50" i="23"/>
  <c r="M50" i="23"/>
  <c r="L50" i="23"/>
  <c r="K50" i="23"/>
  <c r="J50" i="23"/>
  <c r="I50" i="23"/>
  <c r="H50" i="23"/>
  <c r="G50" i="23"/>
  <c r="I283" i="1" s="1"/>
  <c r="F50" i="23"/>
  <c r="E50" i="23"/>
  <c r="D50" i="23"/>
  <c r="F283" i="1" s="1"/>
  <c r="B50" i="23"/>
  <c r="A50" i="23"/>
  <c r="S49" i="23"/>
  <c r="R49" i="23"/>
  <c r="Q49" i="23"/>
  <c r="P49" i="23"/>
  <c r="O49" i="23"/>
  <c r="N49" i="23"/>
  <c r="M49" i="23"/>
  <c r="L49" i="23"/>
  <c r="K49" i="23"/>
  <c r="J49" i="23"/>
  <c r="I49" i="23"/>
  <c r="K282" i="1" s="1"/>
  <c r="H49" i="23"/>
  <c r="G49" i="23"/>
  <c r="F49" i="23"/>
  <c r="H282" i="1" s="1"/>
  <c r="E49" i="23"/>
  <c r="D49" i="23"/>
  <c r="B49" i="23"/>
  <c r="A49" i="23"/>
  <c r="S48" i="23"/>
  <c r="R48" i="23"/>
  <c r="Q48" i="23"/>
  <c r="P48" i="23"/>
  <c r="O48" i="23"/>
  <c r="N48" i="23"/>
  <c r="M48" i="23"/>
  <c r="L48" i="23"/>
  <c r="K48" i="23"/>
  <c r="M281" i="1" s="1"/>
  <c r="J48" i="23"/>
  <c r="I48" i="23"/>
  <c r="H48" i="23"/>
  <c r="J281" i="1" s="1"/>
  <c r="G48" i="23"/>
  <c r="F48" i="23"/>
  <c r="E48" i="23"/>
  <c r="D48" i="23"/>
  <c r="B48" i="23"/>
  <c r="A48" i="23"/>
  <c r="S47" i="23"/>
  <c r="R47" i="23"/>
  <c r="Q47" i="23"/>
  <c r="P47" i="23"/>
  <c r="O47" i="23"/>
  <c r="N47" i="23"/>
  <c r="M47" i="23"/>
  <c r="O280" i="1" s="1"/>
  <c r="L47" i="23"/>
  <c r="K47" i="23"/>
  <c r="J47" i="23"/>
  <c r="L280" i="1" s="1"/>
  <c r="I47" i="23"/>
  <c r="H47" i="23"/>
  <c r="G47" i="23"/>
  <c r="F47" i="23"/>
  <c r="E47" i="23"/>
  <c r="D47" i="23"/>
  <c r="B47" i="23"/>
  <c r="A47" i="23"/>
  <c r="S46" i="23"/>
  <c r="R46" i="23"/>
  <c r="Q46" i="23"/>
  <c r="P46" i="23"/>
  <c r="O46" i="23"/>
  <c r="Q279" i="1" s="1"/>
  <c r="N46" i="23"/>
  <c r="M46" i="23"/>
  <c r="L46" i="23"/>
  <c r="N279" i="1" s="1"/>
  <c r="K46" i="23"/>
  <c r="J46" i="23"/>
  <c r="I46" i="23"/>
  <c r="H46" i="23"/>
  <c r="G46" i="23"/>
  <c r="F46" i="23"/>
  <c r="E46" i="23"/>
  <c r="D46" i="23"/>
  <c r="B46" i="23"/>
  <c r="A46" i="23"/>
  <c r="S45" i="23"/>
  <c r="R45" i="23"/>
  <c r="Q45" i="23"/>
  <c r="S278" i="1" s="1"/>
  <c r="P45" i="23"/>
  <c r="O45" i="23"/>
  <c r="N45" i="23"/>
  <c r="P278" i="1" s="1"/>
  <c r="M45" i="23"/>
  <c r="L45" i="23"/>
  <c r="K45" i="23"/>
  <c r="J45" i="23"/>
  <c r="I45" i="23"/>
  <c r="H45" i="23"/>
  <c r="G45" i="23"/>
  <c r="F45" i="23"/>
  <c r="E45" i="23"/>
  <c r="D45" i="23"/>
  <c r="B45" i="23"/>
  <c r="A45" i="23"/>
  <c r="S44" i="23"/>
  <c r="U277" i="1" s="1"/>
  <c r="R44" i="23"/>
  <c r="Q44" i="23"/>
  <c r="P44" i="23"/>
  <c r="R277" i="1" s="1"/>
  <c r="O44" i="23"/>
  <c r="N44" i="23"/>
  <c r="M44" i="23"/>
  <c r="L44" i="23"/>
  <c r="K44" i="23"/>
  <c r="J44" i="23"/>
  <c r="I44" i="23"/>
  <c r="H44" i="23"/>
  <c r="G44" i="23"/>
  <c r="F44" i="23"/>
  <c r="E44" i="23"/>
  <c r="D44" i="23"/>
  <c r="B44" i="23"/>
  <c r="D277" i="1" s="1"/>
  <c r="A44" i="23"/>
  <c r="S43" i="23"/>
  <c r="R43" i="23"/>
  <c r="T276" i="1" s="1"/>
  <c r="Q43" i="23"/>
  <c r="P43" i="23"/>
  <c r="O43" i="23"/>
  <c r="N43" i="23"/>
  <c r="M43" i="23"/>
  <c r="L43" i="23"/>
  <c r="K43" i="23"/>
  <c r="J43" i="23"/>
  <c r="I43" i="23"/>
  <c r="H43" i="23"/>
  <c r="G43" i="23"/>
  <c r="F43" i="23"/>
  <c r="E43" i="23"/>
  <c r="G276" i="1" s="1"/>
  <c r="D43" i="23"/>
  <c r="B43" i="23"/>
  <c r="A43" i="23"/>
  <c r="S42" i="23"/>
  <c r="R42" i="23"/>
  <c r="Q42" i="23"/>
  <c r="P42" i="23"/>
  <c r="O42" i="23"/>
  <c r="N42" i="23"/>
  <c r="M42" i="23"/>
  <c r="L42" i="23"/>
  <c r="K42" i="23"/>
  <c r="J42" i="23"/>
  <c r="I42" i="23"/>
  <c r="H42" i="23"/>
  <c r="G42" i="23"/>
  <c r="I275" i="1" s="1"/>
  <c r="F42" i="23"/>
  <c r="E42" i="23"/>
  <c r="D42" i="23"/>
  <c r="F275" i="1" s="1"/>
  <c r="B42" i="23"/>
  <c r="A42" i="23"/>
  <c r="S41" i="23"/>
  <c r="R41" i="23"/>
  <c r="Q41" i="23"/>
  <c r="P41" i="23"/>
  <c r="O41" i="23"/>
  <c r="N41" i="23"/>
  <c r="M41" i="23"/>
  <c r="L41" i="23"/>
  <c r="K41" i="23"/>
  <c r="J41" i="23"/>
  <c r="I41" i="23"/>
  <c r="K274" i="1" s="1"/>
  <c r="H41" i="23"/>
  <c r="G41" i="23"/>
  <c r="F41" i="23"/>
  <c r="H274" i="1" s="1"/>
  <c r="E41" i="23"/>
  <c r="D41" i="23"/>
  <c r="B41" i="23"/>
  <c r="A41" i="23"/>
  <c r="S40" i="23"/>
  <c r="R40" i="23"/>
  <c r="Q40" i="23"/>
  <c r="P40" i="23"/>
  <c r="O40" i="23"/>
  <c r="N40" i="23"/>
  <c r="M40" i="23"/>
  <c r="L40" i="23"/>
  <c r="K40" i="23"/>
  <c r="M273" i="1" s="1"/>
  <c r="J40" i="23"/>
  <c r="I40" i="23"/>
  <c r="H40" i="23"/>
  <c r="J273" i="1" s="1"/>
  <c r="G40" i="23"/>
  <c r="F40" i="23"/>
  <c r="E40" i="23"/>
  <c r="D40" i="23"/>
  <c r="B40" i="23"/>
  <c r="A40" i="23"/>
  <c r="S39" i="23"/>
  <c r="R39" i="23"/>
  <c r="Q39" i="23"/>
  <c r="P39" i="23"/>
  <c r="O39" i="23"/>
  <c r="N39" i="23"/>
  <c r="M39" i="23"/>
  <c r="O272" i="1" s="1"/>
  <c r="L39" i="23"/>
  <c r="K39" i="23"/>
  <c r="J39" i="23"/>
  <c r="L272" i="1" s="1"/>
  <c r="I39" i="23"/>
  <c r="H39" i="23"/>
  <c r="G39" i="23"/>
  <c r="F39" i="23"/>
  <c r="E39" i="23"/>
  <c r="D39" i="23"/>
  <c r="B39" i="23"/>
  <c r="A39" i="23"/>
  <c r="S38" i="23"/>
  <c r="R38" i="23"/>
  <c r="Q38" i="23"/>
  <c r="P38" i="23"/>
  <c r="O38" i="23"/>
  <c r="Q271" i="1" s="1"/>
  <c r="N38" i="23"/>
  <c r="M38" i="23"/>
  <c r="L38" i="23"/>
  <c r="N271" i="1" s="1"/>
  <c r="K38" i="23"/>
  <c r="J38" i="23"/>
  <c r="I38" i="23"/>
  <c r="H38" i="23"/>
  <c r="G38" i="23"/>
  <c r="F38" i="23"/>
  <c r="E38" i="23"/>
  <c r="D38" i="23"/>
  <c r="B38" i="23"/>
  <c r="A38" i="23"/>
  <c r="S37" i="23"/>
  <c r="R37" i="23"/>
  <c r="Q37" i="23"/>
  <c r="S270" i="1" s="1"/>
  <c r="P37" i="23"/>
  <c r="O37" i="23"/>
  <c r="N37" i="23"/>
  <c r="P270" i="1" s="1"/>
  <c r="M37" i="23"/>
  <c r="L37" i="23"/>
  <c r="K37" i="23"/>
  <c r="J37" i="23"/>
  <c r="I37" i="23"/>
  <c r="H37" i="23"/>
  <c r="G37" i="23"/>
  <c r="F37" i="23"/>
  <c r="E37" i="23"/>
  <c r="D37" i="23"/>
  <c r="B37" i="23"/>
  <c r="A37" i="23"/>
  <c r="S36" i="23"/>
  <c r="U269" i="1" s="1"/>
  <c r="R36" i="23"/>
  <c r="Q36" i="23"/>
  <c r="P36" i="23"/>
  <c r="R269" i="1" s="1"/>
  <c r="O36" i="23"/>
  <c r="N36" i="23"/>
  <c r="M36" i="23"/>
  <c r="L36" i="23"/>
  <c r="K36" i="23"/>
  <c r="J36" i="23"/>
  <c r="I36" i="23"/>
  <c r="H36" i="23"/>
  <c r="G36" i="23"/>
  <c r="F36" i="23"/>
  <c r="E36" i="23"/>
  <c r="D36" i="23"/>
  <c r="B36" i="23"/>
  <c r="D269" i="1" s="1"/>
  <c r="A36" i="23"/>
  <c r="S35" i="23"/>
  <c r="R35" i="23"/>
  <c r="T268" i="1" s="1"/>
  <c r="Q35" i="23"/>
  <c r="P35" i="23"/>
  <c r="O35" i="23"/>
  <c r="N35" i="23"/>
  <c r="M35" i="23"/>
  <c r="L35" i="23"/>
  <c r="K35" i="23"/>
  <c r="J35" i="23"/>
  <c r="I35" i="23"/>
  <c r="H35" i="23"/>
  <c r="G35" i="23"/>
  <c r="F35" i="23"/>
  <c r="E35" i="23"/>
  <c r="G268" i="1" s="1"/>
  <c r="D35" i="23"/>
  <c r="B35" i="23"/>
  <c r="A35" i="23"/>
  <c r="S34" i="23"/>
  <c r="R34" i="23"/>
  <c r="Q34" i="23"/>
  <c r="P34" i="23"/>
  <c r="O34" i="23"/>
  <c r="N34" i="23"/>
  <c r="M34" i="23"/>
  <c r="L34" i="23"/>
  <c r="K34" i="23"/>
  <c r="J34" i="23"/>
  <c r="I34" i="23"/>
  <c r="H34" i="23"/>
  <c r="G34" i="23"/>
  <c r="I267" i="1" s="1"/>
  <c r="F34" i="23"/>
  <c r="E34" i="23"/>
  <c r="D34" i="23"/>
  <c r="F267" i="1" s="1"/>
  <c r="B34" i="23"/>
  <c r="A34" i="23"/>
  <c r="S33" i="23"/>
  <c r="R33" i="23"/>
  <c r="Q33" i="23"/>
  <c r="P33" i="23"/>
  <c r="O33" i="23"/>
  <c r="N33" i="23"/>
  <c r="M33" i="23"/>
  <c r="L33" i="23"/>
  <c r="K33" i="23"/>
  <c r="J33" i="23"/>
  <c r="I33" i="23"/>
  <c r="K266" i="1" s="1"/>
  <c r="H33" i="23"/>
  <c r="G33" i="23"/>
  <c r="F33" i="23"/>
  <c r="H266" i="1" s="1"/>
  <c r="E33" i="23"/>
  <c r="D33" i="23"/>
  <c r="B33" i="23"/>
  <c r="A33" i="23"/>
  <c r="S32" i="23"/>
  <c r="R32" i="23"/>
  <c r="Q32" i="23"/>
  <c r="P32" i="23"/>
  <c r="O32" i="23"/>
  <c r="N32" i="23"/>
  <c r="M32" i="23"/>
  <c r="L32" i="23"/>
  <c r="K32" i="23"/>
  <c r="M265" i="1" s="1"/>
  <c r="J32" i="23"/>
  <c r="I32" i="23"/>
  <c r="H32" i="23"/>
  <c r="J265" i="1" s="1"/>
  <c r="G32" i="23"/>
  <c r="F32" i="23"/>
  <c r="E32" i="23"/>
  <c r="D32" i="23"/>
  <c r="B32" i="23"/>
  <c r="A32" i="23"/>
  <c r="S31" i="23"/>
  <c r="R31" i="23"/>
  <c r="Q31" i="23"/>
  <c r="P31" i="23"/>
  <c r="O31" i="23"/>
  <c r="N31" i="23"/>
  <c r="M31" i="23"/>
  <c r="O264" i="1" s="1"/>
  <c r="L31" i="23"/>
  <c r="K31" i="23"/>
  <c r="J31" i="23"/>
  <c r="L264" i="1" s="1"/>
  <c r="I31" i="23"/>
  <c r="H31" i="23"/>
  <c r="G31" i="23"/>
  <c r="F31" i="23"/>
  <c r="E31" i="23"/>
  <c r="D31" i="23"/>
  <c r="B31" i="23"/>
  <c r="A31" i="23"/>
  <c r="S30" i="23"/>
  <c r="R30" i="23"/>
  <c r="Q30" i="23"/>
  <c r="P30" i="23"/>
  <c r="O30" i="23"/>
  <c r="Q263" i="1" s="1"/>
  <c r="N30" i="23"/>
  <c r="M30" i="23"/>
  <c r="L30" i="23"/>
  <c r="N263" i="1" s="1"/>
  <c r="K30" i="23"/>
  <c r="J30" i="23"/>
  <c r="I30" i="23"/>
  <c r="H30" i="23"/>
  <c r="G30" i="23"/>
  <c r="F30" i="23"/>
  <c r="E30" i="23"/>
  <c r="D30" i="23"/>
  <c r="B30" i="23"/>
  <c r="A30" i="23"/>
  <c r="S29" i="23"/>
  <c r="R29" i="23"/>
  <c r="Q29" i="23"/>
  <c r="S262" i="1" s="1"/>
  <c r="P29" i="23"/>
  <c r="O29" i="23"/>
  <c r="N29" i="23"/>
  <c r="P262" i="1" s="1"/>
  <c r="M29" i="23"/>
  <c r="L29" i="23"/>
  <c r="K29" i="23"/>
  <c r="J29" i="23"/>
  <c r="I29" i="23"/>
  <c r="H29" i="23"/>
  <c r="G29" i="23"/>
  <c r="F29" i="23"/>
  <c r="E29" i="23"/>
  <c r="D29" i="23"/>
  <c r="B29" i="23"/>
  <c r="A29" i="23"/>
  <c r="S28" i="23"/>
  <c r="U261" i="1" s="1"/>
  <c r="R28" i="23"/>
  <c r="Q28" i="23"/>
  <c r="P28" i="23"/>
  <c r="R261" i="1" s="1"/>
  <c r="O28" i="23"/>
  <c r="N28" i="23"/>
  <c r="M28" i="23"/>
  <c r="L28" i="23"/>
  <c r="K28" i="23"/>
  <c r="J28" i="23"/>
  <c r="I28" i="23"/>
  <c r="H28" i="23"/>
  <c r="G28" i="23"/>
  <c r="F28" i="23"/>
  <c r="E28" i="23"/>
  <c r="D28" i="23"/>
  <c r="B28" i="23"/>
  <c r="D261" i="1" s="1"/>
  <c r="A28" i="23"/>
  <c r="S27" i="23"/>
  <c r="R27" i="23"/>
  <c r="T260" i="1" s="1"/>
  <c r="Q27" i="23"/>
  <c r="P27" i="23"/>
  <c r="O27" i="23"/>
  <c r="N27" i="23"/>
  <c r="M27" i="23"/>
  <c r="L27" i="23"/>
  <c r="K27" i="23"/>
  <c r="J27" i="23"/>
  <c r="I27" i="23"/>
  <c r="H27" i="23"/>
  <c r="G27" i="23"/>
  <c r="F27" i="23"/>
  <c r="E27" i="23"/>
  <c r="G260" i="1" s="1"/>
  <c r="D27" i="23"/>
  <c r="B27" i="23"/>
  <c r="A27" i="23"/>
  <c r="S26" i="23"/>
  <c r="R26" i="23"/>
  <c r="Q26" i="23"/>
  <c r="P26" i="23"/>
  <c r="O26" i="23"/>
  <c r="N26" i="23"/>
  <c r="M26" i="23"/>
  <c r="L26" i="23"/>
  <c r="K26" i="23"/>
  <c r="J26" i="23"/>
  <c r="I26" i="23"/>
  <c r="H26" i="23"/>
  <c r="G26" i="23"/>
  <c r="I259" i="1" s="1"/>
  <c r="F26" i="23"/>
  <c r="E26" i="23"/>
  <c r="D26" i="23"/>
  <c r="F259" i="1" s="1"/>
  <c r="B26" i="23"/>
  <c r="A26" i="23"/>
  <c r="S25" i="23"/>
  <c r="R25" i="23"/>
  <c r="Q25" i="23"/>
  <c r="P25" i="23"/>
  <c r="O25" i="23"/>
  <c r="N25" i="23"/>
  <c r="M25" i="23"/>
  <c r="L25" i="23"/>
  <c r="K25" i="23"/>
  <c r="J25" i="23"/>
  <c r="I25" i="23"/>
  <c r="K258" i="1" s="1"/>
  <c r="H25" i="23"/>
  <c r="G25" i="23"/>
  <c r="F25" i="23"/>
  <c r="H258" i="1" s="1"/>
  <c r="E25" i="23"/>
  <c r="D25" i="23"/>
  <c r="B25" i="23"/>
  <c r="A25" i="23"/>
  <c r="S24" i="23"/>
  <c r="R24" i="23"/>
  <c r="Q24" i="23"/>
  <c r="P24" i="23"/>
  <c r="O24" i="23"/>
  <c r="N24" i="23"/>
  <c r="M24" i="23"/>
  <c r="L24" i="23"/>
  <c r="K24" i="23"/>
  <c r="M257" i="1" s="1"/>
  <c r="J24" i="23"/>
  <c r="I24" i="23"/>
  <c r="H24" i="23"/>
  <c r="J257" i="1" s="1"/>
  <c r="G24" i="23"/>
  <c r="F24" i="23"/>
  <c r="E24" i="23"/>
  <c r="D24" i="23"/>
  <c r="B24" i="23"/>
  <c r="A24" i="23"/>
  <c r="S23" i="23"/>
  <c r="R23" i="23"/>
  <c r="Q23" i="23"/>
  <c r="P23" i="23"/>
  <c r="O23" i="23"/>
  <c r="N23" i="23"/>
  <c r="M23" i="23"/>
  <c r="O256" i="1" s="1"/>
  <c r="L23" i="23"/>
  <c r="K23" i="23"/>
  <c r="J23" i="23"/>
  <c r="L256" i="1" s="1"/>
  <c r="I23" i="23"/>
  <c r="H23" i="23"/>
  <c r="G23" i="23"/>
  <c r="F23" i="23"/>
  <c r="E23" i="23"/>
  <c r="D23" i="23"/>
  <c r="B23" i="23"/>
  <c r="A23" i="23"/>
  <c r="S22" i="23"/>
  <c r="R22" i="23"/>
  <c r="Q22" i="23"/>
  <c r="P22" i="23"/>
  <c r="O22" i="23"/>
  <c r="Q255" i="1" s="1"/>
  <c r="N22" i="23"/>
  <c r="M22" i="23"/>
  <c r="L22" i="23"/>
  <c r="N255" i="1" s="1"/>
  <c r="K22" i="23"/>
  <c r="J22" i="23"/>
  <c r="I22" i="23"/>
  <c r="H22" i="23"/>
  <c r="G22" i="23"/>
  <c r="F22" i="23"/>
  <c r="E22" i="23"/>
  <c r="D22" i="23"/>
  <c r="B22" i="23"/>
  <c r="A22" i="23"/>
  <c r="S21" i="23"/>
  <c r="R21" i="23"/>
  <c r="Q21" i="23"/>
  <c r="S254" i="1" s="1"/>
  <c r="P21" i="23"/>
  <c r="O21" i="23"/>
  <c r="N21" i="23"/>
  <c r="P254" i="1" s="1"/>
  <c r="M21" i="23"/>
  <c r="L21" i="23"/>
  <c r="K21" i="23"/>
  <c r="J21" i="23"/>
  <c r="I21" i="23"/>
  <c r="H21" i="23"/>
  <c r="G21" i="23"/>
  <c r="F21" i="23"/>
  <c r="E21" i="23"/>
  <c r="D21" i="23"/>
  <c r="B21" i="23"/>
  <c r="A21" i="23"/>
  <c r="S20" i="23"/>
  <c r="U253" i="1" s="1"/>
  <c r="R20" i="23"/>
  <c r="Q20" i="23"/>
  <c r="P20" i="23"/>
  <c r="R253" i="1" s="1"/>
  <c r="O20" i="23"/>
  <c r="N20" i="23"/>
  <c r="M20" i="23"/>
  <c r="L20" i="23"/>
  <c r="K20" i="23"/>
  <c r="J20" i="23"/>
  <c r="I20" i="23"/>
  <c r="H20" i="23"/>
  <c r="G20" i="23"/>
  <c r="F20" i="23"/>
  <c r="E20" i="23"/>
  <c r="D20" i="23"/>
  <c r="B20" i="23"/>
  <c r="D253" i="1" s="1"/>
  <c r="A20" i="23"/>
  <c r="S19" i="23"/>
  <c r="R19" i="23"/>
  <c r="T252" i="1" s="1"/>
  <c r="Q19" i="23"/>
  <c r="P19" i="23"/>
  <c r="O19" i="23"/>
  <c r="N19" i="23"/>
  <c r="M19" i="23"/>
  <c r="L19" i="23"/>
  <c r="K19" i="23"/>
  <c r="J19" i="23"/>
  <c r="I19" i="23"/>
  <c r="H19" i="23"/>
  <c r="G19" i="23"/>
  <c r="F19" i="23"/>
  <c r="E19" i="23"/>
  <c r="G252" i="1" s="1"/>
  <c r="D19" i="23"/>
  <c r="B19" i="23"/>
  <c r="A19" i="23"/>
  <c r="S18" i="23"/>
  <c r="R18" i="23"/>
  <c r="Q18" i="23"/>
  <c r="P18" i="23"/>
  <c r="O18" i="23"/>
  <c r="N18" i="23"/>
  <c r="M18" i="23"/>
  <c r="L18" i="23"/>
  <c r="K18" i="23"/>
  <c r="J18" i="23"/>
  <c r="I18" i="23"/>
  <c r="H18" i="23"/>
  <c r="G18" i="23"/>
  <c r="I251" i="1" s="1"/>
  <c r="F18" i="23"/>
  <c r="E18" i="23"/>
  <c r="D18" i="23"/>
  <c r="F251" i="1" s="1"/>
  <c r="B18" i="23"/>
  <c r="A18" i="23"/>
  <c r="S17" i="23"/>
  <c r="R17" i="23"/>
  <c r="Q17" i="23"/>
  <c r="P17" i="23"/>
  <c r="O17" i="23"/>
  <c r="N17" i="23"/>
  <c r="M17" i="23"/>
  <c r="L17" i="23"/>
  <c r="K17" i="23"/>
  <c r="J17" i="23"/>
  <c r="I17" i="23"/>
  <c r="K250" i="1" s="1"/>
  <c r="H17" i="23"/>
  <c r="G17" i="23"/>
  <c r="F17" i="23"/>
  <c r="H250" i="1" s="1"/>
  <c r="E17" i="23"/>
  <c r="D17" i="23"/>
  <c r="B17" i="23"/>
  <c r="A17" i="23"/>
  <c r="S16" i="23"/>
  <c r="R16" i="23"/>
  <c r="Q16" i="23"/>
  <c r="P16" i="23"/>
  <c r="O16" i="23"/>
  <c r="N16" i="23"/>
  <c r="M16" i="23"/>
  <c r="L16" i="23"/>
  <c r="K16" i="23"/>
  <c r="M249" i="1" s="1"/>
  <c r="J16" i="23"/>
  <c r="I16" i="23"/>
  <c r="H16" i="23"/>
  <c r="J249" i="1" s="1"/>
  <c r="G16" i="23"/>
  <c r="F16" i="23"/>
  <c r="E16" i="23"/>
  <c r="D16" i="23"/>
  <c r="B16" i="23"/>
  <c r="A16" i="23"/>
  <c r="S15" i="23"/>
  <c r="R15" i="23"/>
  <c r="Q15" i="23"/>
  <c r="P15" i="23"/>
  <c r="O15" i="23"/>
  <c r="N15" i="23"/>
  <c r="M15" i="23"/>
  <c r="O248" i="1" s="1"/>
  <c r="L15" i="23"/>
  <c r="K15" i="23"/>
  <c r="J15" i="23"/>
  <c r="L248" i="1" s="1"/>
  <c r="I15" i="23"/>
  <c r="H15" i="23"/>
  <c r="G15" i="23"/>
  <c r="F15" i="23"/>
  <c r="E15" i="23"/>
  <c r="D15" i="23"/>
  <c r="B15" i="23"/>
  <c r="A15" i="23"/>
  <c r="S14" i="23"/>
  <c r="R14" i="23"/>
  <c r="Q14" i="23"/>
  <c r="P14" i="23"/>
  <c r="O14" i="23"/>
  <c r="Q247" i="1" s="1"/>
  <c r="N14" i="23"/>
  <c r="M14" i="23"/>
  <c r="L14" i="23"/>
  <c r="N247" i="1" s="1"/>
  <c r="K14" i="23"/>
  <c r="J14" i="23"/>
  <c r="I14" i="23"/>
  <c r="H14" i="23"/>
  <c r="G14" i="23"/>
  <c r="F14" i="23"/>
  <c r="E14" i="23"/>
  <c r="D14" i="23"/>
  <c r="B14" i="23"/>
  <c r="A14" i="23"/>
  <c r="S13" i="23"/>
  <c r="R13" i="23"/>
  <c r="Q13" i="23"/>
  <c r="S246" i="1" s="1"/>
  <c r="P13" i="23"/>
  <c r="O13" i="23"/>
  <c r="N13" i="23"/>
  <c r="P246" i="1" s="1"/>
  <c r="M13" i="23"/>
  <c r="L13" i="23"/>
  <c r="K13" i="23"/>
  <c r="J13" i="23"/>
  <c r="I13" i="23"/>
  <c r="H13" i="23"/>
  <c r="G13" i="23"/>
  <c r="F13" i="23"/>
  <c r="E13" i="23"/>
  <c r="D13" i="23"/>
  <c r="B13" i="23"/>
  <c r="A13" i="23"/>
  <c r="S12" i="23"/>
  <c r="U245" i="1" s="1"/>
  <c r="R12" i="23"/>
  <c r="Q12" i="23"/>
  <c r="P12" i="23"/>
  <c r="R245" i="1" s="1"/>
  <c r="O12" i="23"/>
  <c r="N12" i="23"/>
  <c r="M12" i="23"/>
  <c r="L12" i="23"/>
  <c r="K12" i="23"/>
  <c r="J12" i="23"/>
  <c r="I12" i="23"/>
  <c r="H12" i="23"/>
  <c r="G12" i="23"/>
  <c r="F12" i="23"/>
  <c r="E12" i="23"/>
  <c r="D12" i="23"/>
  <c r="B12" i="23"/>
  <c r="D245" i="1" s="1"/>
  <c r="A12" i="23"/>
  <c r="S11" i="23"/>
  <c r="R11" i="23"/>
  <c r="T244" i="1" s="1"/>
  <c r="Q11" i="23"/>
  <c r="P11" i="23"/>
  <c r="O11" i="23"/>
  <c r="N11" i="23"/>
  <c r="M11" i="23"/>
  <c r="L11" i="23"/>
  <c r="K11" i="23"/>
  <c r="J11" i="23"/>
  <c r="I11" i="23"/>
  <c r="H11" i="23"/>
  <c r="G11" i="23"/>
  <c r="F11" i="23"/>
  <c r="E11" i="23"/>
  <c r="G244" i="1" s="1"/>
  <c r="D11" i="23"/>
  <c r="B11" i="23"/>
  <c r="A11" i="23"/>
  <c r="S10" i="23"/>
  <c r="R10" i="23"/>
  <c r="Q10" i="23"/>
  <c r="P10" i="23"/>
  <c r="O10" i="23"/>
  <c r="N10" i="23"/>
  <c r="M10" i="23"/>
  <c r="L10" i="23"/>
  <c r="K10" i="23"/>
  <c r="J10" i="23"/>
  <c r="I10" i="23"/>
  <c r="H10" i="23"/>
  <c r="G10" i="23"/>
  <c r="I243" i="1" s="1"/>
  <c r="F10" i="23"/>
  <c r="E10" i="23"/>
  <c r="D10" i="23"/>
  <c r="F243" i="1" s="1"/>
  <c r="B10" i="23"/>
  <c r="A10" i="23"/>
  <c r="S9" i="23"/>
  <c r="R9" i="23"/>
  <c r="Q9" i="23"/>
  <c r="P9" i="23"/>
  <c r="O9" i="23"/>
  <c r="N9" i="23"/>
  <c r="M9" i="23"/>
  <c r="L9" i="23"/>
  <c r="K9" i="23"/>
  <c r="J9" i="23"/>
  <c r="I9" i="23"/>
  <c r="K242" i="1" s="1"/>
  <c r="H9" i="23"/>
  <c r="G9" i="23"/>
  <c r="F9" i="23"/>
  <c r="H242" i="1" s="1"/>
  <c r="E9" i="23"/>
  <c r="D9" i="23"/>
  <c r="B9" i="23"/>
  <c r="A9" i="23"/>
  <c r="S8" i="23"/>
  <c r="R8" i="23"/>
  <c r="Q8" i="23"/>
  <c r="P8" i="23"/>
  <c r="O8" i="23"/>
  <c r="N8" i="23"/>
  <c r="M8" i="23"/>
  <c r="L8" i="23"/>
  <c r="K8" i="23"/>
  <c r="M241" i="1" s="1"/>
  <c r="J8" i="23"/>
  <c r="I8" i="23"/>
  <c r="H8" i="23"/>
  <c r="J241" i="1" s="1"/>
  <c r="G8" i="23"/>
  <c r="F8" i="23"/>
  <c r="E8" i="23"/>
  <c r="D8" i="23"/>
  <c r="B8" i="23"/>
  <c r="A8" i="23"/>
  <c r="S7" i="23"/>
  <c r="R7" i="23"/>
  <c r="Q7" i="23"/>
  <c r="P7" i="23"/>
  <c r="O7" i="23"/>
  <c r="N7" i="23"/>
  <c r="M7" i="23"/>
  <c r="O240" i="1" s="1"/>
  <c r="L7" i="23"/>
  <c r="K7" i="23"/>
  <c r="J7" i="23"/>
  <c r="L240" i="1" s="1"/>
  <c r="I7" i="23"/>
  <c r="H7" i="23"/>
  <c r="G7" i="23"/>
  <c r="F7" i="23"/>
  <c r="E7" i="23"/>
  <c r="D7" i="23"/>
  <c r="B7" i="23"/>
  <c r="A7" i="23"/>
  <c r="S6" i="23"/>
  <c r="R6" i="23"/>
  <c r="Q6" i="23"/>
  <c r="P6" i="23"/>
  <c r="O6" i="23"/>
  <c r="Q239" i="1" s="1"/>
  <c r="N6" i="23"/>
  <c r="M6" i="23"/>
  <c r="L6" i="23"/>
  <c r="N239" i="1" s="1"/>
  <c r="K6" i="23"/>
  <c r="J6" i="23"/>
  <c r="I6" i="23"/>
  <c r="H6" i="23"/>
  <c r="G6" i="23"/>
  <c r="F6" i="23"/>
  <c r="E6" i="23"/>
  <c r="D6" i="23"/>
  <c r="B6" i="23"/>
  <c r="A6" i="23"/>
  <c r="S5" i="23"/>
  <c r="R5" i="23"/>
  <c r="Q5" i="23"/>
  <c r="S238" i="1" s="1"/>
  <c r="P5" i="23"/>
  <c r="O5" i="23"/>
  <c r="N5" i="23"/>
  <c r="P238" i="1" s="1"/>
  <c r="M5" i="23"/>
  <c r="L5" i="23"/>
  <c r="K5" i="23"/>
  <c r="J5" i="23"/>
  <c r="I5" i="23"/>
  <c r="H5" i="23"/>
  <c r="G5" i="23"/>
  <c r="F5" i="23"/>
  <c r="E5" i="23"/>
  <c r="D5" i="23"/>
  <c r="B5" i="23"/>
  <c r="A5" i="23"/>
  <c r="S4" i="23"/>
  <c r="U237" i="1" s="1"/>
  <c r="R4" i="23"/>
  <c r="Q4" i="23"/>
  <c r="P4" i="23"/>
  <c r="R237" i="1" s="1"/>
  <c r="O4" i="23"/>
  <c r="N4" i="23"/>
  <c r="M4" i="23"/>
  <c r="L4" i="23"/>
  <c r="K4" i="23"/>
  <c r="J4" i="23"/>
  <c r="I4" i="23"/>
  <c r="H4" i="23"/>
  <c r="G4" i="23"/>
  <c r="F4" i="23"/>
  <c r="E4" i="23"/>
  <c r="D4" i="23"/>
  <c r="B4" i="23"/>
  <c r="D237" i="1" s="1"/>
  <c r="A4" i="23"/>
  <c r="S3" i="23"/>
  <c r="R3" i="23"/>
  <c r="T236" i="1" s="1"/>
  <c r="Q3" i="23"/>
  <c r="P3" i="23"/>
  <c r="O3" i="23"/>
  <c r="N3" i="23"/>
  <c r="M3" i="23"/>
  <c r="L3" i="23"/>
  <c r="K3" i="23"/>
  <c r="J3" i="23"/>
  <c r="I3" i="23"/>
  <c r="H3" i="23"/>
  <c r="G3" i="23"/>
  <c r="F3" i="23"/>
  <c r="E3" i="23"/>
  <c r="G236" i="1" s="1"/>
  <c r="D3" i="23"/>
  <c r="B3" i="23"/>
  <c r="A3" i="23"/>
  <c r="S2" i="23"/>
  <c r="R2" i="23"/>
  <c r="Q2" i="23"/>
  <c r="P2" i="23"/>
  <c r="O2" i="23"/>
  <c r="N2" i="23"/>
  <c r="M2" i="23"/>
  <c r="L2" i="23"/>
  <c r="K2" i="23"/>
  <c r="J2" i="23"/>
  <c r="I2" i="23"/>
  <c r="H2" i="23"/>
  <c r="G2" i="23"/>
  <c r="I235" i="1" s="1"/>
  <c r="F2" i="23"/>
  <c r="E2" i="23"/>
  <c r="D2" i="23"/>
  <c r="F235" i="1" s="1"/>
  <c r="B2" i="23"/>
  <c r="A2" i="23"/>
  <c r="S1" i="23"/>
  <c r="R1" i="23"/>
  <c r="Q1" i="23"/>
  <c r="P1" i="23"/>
  <c r="O1" i="23"/>
  <c r="N1" i="23"/>
  <c r="M1" i="23"/>
  <c r="L1" i="23"/>
  <c r="K1" i="23"/>
  <c r="J1" i="23"/>
  <c r="I1" i="23"/>
  <c r="H1" i="23"/>
  <c r="G1" i="23"/>
  <c r="F1" i="23"/>
  <c r="E1" i="23"/>
  <c r="D1" i="23"/>
  <c r="C1" i="23"/>
  <c r="B1" i="23"/>
  <c r="A1" i="23"/>
  <c r="S30" i="22"/>
  <c r="R30" i="22"/>
  <c r="Q30" i="22"/>
  <c r="S234" i="1" s="1"/>
  <c r="P30" i="22"/>
  <c r="O30" i="22"/>
  <c r="N30" i="22"/>
  <c r="M30" i="22"/>
  <c r="L30" i="22"/>
  <c r="N234" i="1" s="1"/>
  <c r="K30" i="22"/>
  <c r="M234" i="1" s="1"/>
  <c r="J30" i="22"/>
  <c r="I30" i="22"/>
  <c r="K234" i="1" s="1"/>
  <c r="H30" i="22"/>
  <c r="G30" i="22"/>
  <c r="F30" i="22"/>
  <c r="E30" i="22"/>
  <c r="D30" i="22"/>
  <c r="C30" i="22"/>
  <c r="B30" i="22"/>
  <c r="A30" i="22"/>
  <c r="S29" i="22"/>
  <c r="R29" i="22"/>
  <c r="Q29" i="22"/>
  <c r="P29" i="22"/>
  <c r="O29" i="22"/>
  <c r="Q233" i="1" s="1"/>
  <c r="N29" i="22"/>
  <c r="P233" i="1" s="1"/>
  <c r="M29" i="22"/>
  <c r="L29" i="22"/>
  <c r="N233" i="1" s="1"/>
  <c r="K29" i="22"/>
  <c r="J29" i="22"/>
  <c r="I29" i="22"/>
  <c r="H29" i="22"/>
  <c r="G29" i="22"/>
  <c r="F29" i="22"/>
  <c r="E29" i="22"/>
  <c r="D29" i="22"/>
  <c r="F233" i="1" s="1"/>
  <c r="C29" i="22"/>
  <c r="B29" i="22"/>
  <c r="A29" i="22"/>
  <c r="S28" i="22"/>
  <c r="R28" i="22"/>
  <c r="T232" i="1" s="1"/>
  <c r="Q28" i="22"/>
  <c r="P28" i="22"/>
  <c r="O28" i="22"/>
  <c r="Q232" i="1" s="1"/>
  <c r="N28" i="22"/>
  <c r="M28" i="22"/>
  <c r="L28" i="22"/>
  <c r="K28" i="22"/>
  <c r="J28" i="22"/>
  <c r="I28" i="22"/>
  <c r="H28" i="22"/>
  <c r="G28" i="22"/>
  <c r="F28" i="22"/>
  <c r="E28" i="22"/>
  <c r="D28" i="22"/>
  <c r="C28" i="22"/>
  <c r="B28" i="22"/>
  <c r="D232" i="1" s="1"/>
  <c r="A28" i="22"/>
  <c r="S27" i="22"/>
  <c r="R27" i="22"/>
  <c r="T231" i="1" s="1"/>
  <c r="Q27" i="22"/>
  <c r="P27" i="22"/>
  <c r="O27" i="22"/>
  <c r="N27" i="22"/>
  <c r="M27" i="22"/>
  <c r="L27" i="22"/>
  <c r="K27" i="22"/>
  <c r="J27" i="22"/>
  <c r="I27" i="22"/>
  <c r="H27" i="22"/>
  <c r="G27" i="22"/>
  <c r="F27" i="22"/>
  <c r="E27" i="22"/>
  <c r="G231" i="1" s="1"/>
  <c r="D27" i="22"/>
  <c r="F231" i="1" s="1"/>
  <c r="C27" i="22"/>
  <c r="B27" i="22"/>
  <c r="D231" i="1" s="1"/>
  <c r="A27" i="22"/>
  <c r="S26" i="22"/>
  <c r="U230" i="1" s="1"/>
  <c r="R26" i="22"/>
  <c r="Q26" i="22"/>
  <c r="P26" i="22"/>
  <c r="O26" i="22"/>
  <c r="N26" i="22"/>
  <c r="M26" i="22"/>
  <c r="L26" i="22"/>
  <c r="K26" i="22"/>
  <c r="J26" i="22"/>
  <c r="I26" i="22"/>
  <c r="H26" i="22"/>
  <c r="J230" i="1" s="1"/>
  <c r="G26" i="22"/>
  <c r="F26" i="22"/>
  <c r="E26" i="22"/>
  <c r="G230" i="1" s="1"/>
  <c r="D26" i="22"/>
  <c r="C26" i="22"/>
  <c r="E230" i="1" s="1"/>
  <c r="B26" i="22"/>
  <c r="A26" i="22"/>
  <c r="S25" i="22"/>
  <c r="R25" i="22"/>
  <c r="Q25" i="22"/>
  <c r="P25" i="22"/>
  <c r="O25" i="22"/>
  <c r="N25" i="22"/>
  <c r="M25" i="22"/>
  <c r="L25" i="22"/>
  <c r="K25" i="22"/>
  <c r="M229" i="1" s="1"/>
  <c r="J25" i="22"/>
  <c r="I25" i="22"/>
  <c r="H25" i="22"/>
  <c r="J229" i="1" s="1"/>
  <c r="G25" i="22"/>
  <c r="F25" i="22"/>
  <c r="E25" i="22"/>
  <c r="D25" i="22"/>
  <c r="C25" i="22"/>
  <c r="B25" i="22"/>
  <c r="A25" i="22"/>
  <c r="S24" i="22"/>
  <c r="R24" i="22"/>
  <c r="Q24" i="22"/>
  <c r="P24" i="22"/>
  <c r="O24" i="22"/>
  <c r="N24" i="22"/>
  <c r="P228" i="1" s="1"/>
  <c r="M24" i="22"/>
  <c r="O228" i="1" s="1"/>
  <c r="L24" i="22"/>
  <c r="K24" i="22"/>
  <c r="M228" i="1" s="1"/>
  <c r="J24" i="22"/>
  <c r="I24" i="22"/>
  <c r="H24" i="22"/>
  <c r="G24" i="22"/>
  <c r="F24" i="22"/>
  <c r="E24" i="22"/>
  <c r="D24" i="22"/>
  <c r="C24" i="22"/>
  <c r="B24" i="22"/>
  <c r="A24" i="22"/>
  <c r="S23" i="22"/>
  <c r="R23" i="22"/>
  <c r="Q23" i="22"/>
  <c r="S227" i="1" s="1"/>
  <c r="P23" i="22"/>
  <c r="R227" i="1" s="1"/>
  <c r="O23" i="22"/>
  <c r="Q227" i="1" s="1"/>
  <c r="N23" i="22"/>
  <c r="P227" i="1" s="1"/>
  <c r="M23" i="22"/>
  <c r="L23" i="22"/>
  <c r="K23" i="22"/>
  <c r="J23" i="22"/>
  <c r="I23" i="22"/>
  <c r="H23" i="22"/>
  <c r="G23" i="22"/>
  <c r="F23" i="22"/>
  <c r="E23" i="22"/>
  <c r="D23" i="22"/>
  <c r="C23" i="22"/>
  <c r="B23" i="22"/>
  <c r="A23" i="22"/>
  <c r="S22" i="22"/>
  <c r="U226" i="1" s="1"/>
  <c r="R22" i="22"/>
  <c r="Q22" i="22"/>
  <c r="S226" i="1" s="1"/>
  <c r="P22" i="22"/>
  <c r="O22" i="22"/>
  <c r="N22" i="22"/>
  <c r="M22" i="22"/>
  <c r="L22" i="22"/>
  <c r="K22" i="22"/>
  <c r="J22" i="22"/>
  <c r="I22" i="22"/>
  <c r="H22" i="22"/>
  <c r="G22" i="22"/>
  <c r="F22" i="22"/>
  <c r="E22" i="22"/>
  <c r="D22" i="22"/>
  <c r="F226" i="1" s="1"/>
  <c r="C22" i="22"/>
  <c r="E226" i="1" s="1"/>
  <c r="B22" i="22"/>
  <c r="A22" i="22"/>
  <c r="S21" i="22"/>
  <c r="R21" i="22"/>
  <c r="Q21" i="22"/>
  <c r="P21" i="22"/>
  <c r="O21" i="22"/>
  <c r="N21" i="22"/>
  <c r="M21" i="22"/>
  <c r="L21" i="22"/>
  <c r="K21" i="22"/>
  <c r="J21" i="22"/>
  <c r="I21" i="22"/>
  <c r="H21" i="22"/>
  <c r="G21" i="22"/>
  <c r="I225" i="1" s="1"/>
  <c r="F21" i="22"/>
  <c r="H225" i="1" s="1"/>
  <c r="E21" i="22"/>
  <c r="D21" i="22"/>
  <c r="F225" i="1" s="1"/>
  <c r="C21" i="22"/>
  <c r="B21" i="22"/>
  <c r="A21" i="22"/>
  <c r="S20" i="22"/>
  <c r="R20" i="22"/>
  <c r="Q20" i="22"/>
  <c r="P20" i="22"/>
  <c r="O20" i="22"/>
  <c r="Q224" i="1" s="1"/>
  <c r="N20" i="22"/>
  <c r="M20" i="22"/>
  <c r="L20" i="22"/>
  <c r="K20" i="22"/>
  <c r="J20" i="22"/>
  <c r="L224" i="1" s="1"/>
  <c r="I20" i="22"/>
  <c r="H20" i="22"/>
  <c r="G20" i="22"/>
  <c r="I224" i="1" s="1"/>
  <c r="F20" i="22"/>
  <c r="E20" i="22"/>
  <c r="G224" i="1" s="1"/>
  <c r="D20" i="22"/>
  <c r="C20" i="22"/>
  <c r="B20" i="22"/>
  <c r="A20" i="22"/>
  <c r="S19" i="22"/>
  <c r="R19" i="22"/>
  <c r="T223" i="1" s="1"/>
  <c r="Q19" i="22"/>
  <c r="P19" i="22"/>
  <c r="O19" i="22"/>
  <c r="N19" i="22"/>
  <c r="M19" i="22"/>
  <c r="O223" i="1" s="1"/>
  <c r="L19" i="22"/>
  <c r="N223" i="1" s="1"/>
  <c r="K19" i="22"/>
  <c r="J19" i="22"/>
  <c r="L223" i="1" s="1"/>
  <c r="I19" i="22"/>
  <c r="H19" i="22"/>
  <c r="G19" i="22"/>
  <c r="F19" i="22"/>
  <c r="E19" i="22"/>
  <c r="D19" i="22"/>
  <c r="C19" i="22"/>
  <c r="B19" i="22"/>
  <c r="D223" i="1" s="1"/>
  <c r="A19" i="22"/>
  <c r="S18" i="22"/>
  <c r="R18" i="22"/>
  <c r="Q18" i="22"/>
  <c r="P18" i="22"/>
  <c r="R222" i="1" s="1"/>
  <c r="O18" i="22"/>
  <c r="Q222" i="1" s="1"/>
  <c r="N18" i="22"/>
  <c r="M18" i="22"/>
  <c r="O222" i="1" s="1"/>
  <c r="L18" i="22"/>
  <c r="K18" i="22"/>
  <c r="J18" i="22"/>
  <c r="I18" i="22"/>
  <c r="H18" i="22"/>
  <c r="G18" i="22"/>
  <c r="F18" i="22"/>
  <c r="E18" i="22"/>
  <c r="D18" i="22"/>
  <c r="C18" i="22"/>
  <c r="B18" i="22"/>
  <c r="A18" i="22"/>
  <c r="S17" i="22"/>
  <c r="U221" i="1" s="1"/>
  <c r="R17" i="22"/>
  <c r="T221" i="1" s="1"/>
  <c r="Q17" i="22"/>
  <c r="P17" i="22"/>
  <c r="R221" i="1" s="1"/>
  <c r="O17" i="22"/>
  <c r="N17" i="22"/>
  <c r="M17" i="22"/>
  <c r="L17" i="22"/>
  <c r="K17" i="22"/>
  <c r="J17" i="22"/>
  <c r="I17" i="22"/>
  <c r="H17" i="22"/>
  <c r="G17" i="22"/>
  <c r="F17" i="22"/>
  <c r="E17" i="22"/>
  <c r="D17" i="22"/>
  <c r="C17" i="22"/>
  <c r="E221" i="1" s="1"/>
  <c r="B17" i="22"/>
  <c r="D221" i="1" s="1"/>
  <c r="A17" i="22"/>
  <c r="S16" i="22"/>
  <c r="U220" i="1" s="1"/>
  <c r="R16" i="22"/>
  <c r="Q16" i="22"/>
  <c r="P16" i="22"/>
  <c r="O16" i="22"/>
  <c r="N16" i="22"/>
  <c r="M16" i="22"/>
  <c r="L16" i="22"/>
  <c r="K16" i="22"/>
  <c r="J16" i="22"/>
  <c r="I16" i="22"/>
  <c r="H16" i="22"/>
  <c r="G16" i="22"/>
  <c r="F16" i="22"/>
  <c r="H220" i="1" s="1"/>
  <c r="E16" i="22"/>
  <c r="G220" i="1" s="1"/>
  <c r="D16" i="22"/>
  <c r="C16" i="22"/>
  <c r="E220" i="1" s="1"/>
  <c r="B16" i="22"/>
  <c r="A16" i="22"/>
  <c r="S15" i="22"/>
  <c r="R15" i="22"/>
  <c r="Q15" i="22"/>
  <c r="P15" i="22"/>
  <c r="O15" i="22"/>
  <c r="N15" i="22"/>
  <c r="M15" i="22"/>
  <c r="L15" i="22"/>
  <c r="K15" i="22"/>
  <c r="J15" i="22"/>
  <c r="I15" i="22"/>
  <c r="K219" i="1" s="1"/>
  <c r="H15" i="22"/>
  <c r="J219" i="1" s="1"/>
  <c r="G15" i="22"/>
  <c r="F15" i="22"/>
  <c r="H219" i="1" s="1"/>
  <c r="E15" i="22"/>
  <c r="D15" i="22"/>
  <c r="C15" i="22"/>
  <c r="B15" i="22"/>
  <c r="A15" i="22"/>
  <c r="S14" i="22"/>
  <c r="R14" i="22"/>
  <c r="Q14" i="22"/>
  <c r="S218" i="1" s="1"/>
  <c r="P14" i="22"/>
  <c r="O14" i="22"/>
  <c r="N14" i="22"/>
  <c r="M14" i="22"/>
  <c r="L14" i="22"/>
  <c r="N218" i="1" s="1"/>
  <c r="K14" i="22"/>
  <c r="M218" i="1" s="1"/>
  <c r="J14" i="22"/>
  <c r="I14" i="22"/>
  <c r="K218" i="1" s="1"/>
  <c r="H14" i="22"/>
  <c r="G14" i="22"/>
  <c r="F14" i="22"/>
  <c r="E14" i="22"/>
  <c r="D14" i="22"/>
  <c r="C14" i="22"/>
  <c r="B14" i="22"/>
  <c r="A14" i="22"/>
  <c r="S13" i="22"/>
  <c r="R13" i="22"/>
  <c r="Q13" i="22"/>
  <c r="P13" i="22"/>
  <c r="O13" i="22"/>
  <c r="Q217" i="1" s="1"/>
  <c r="N13" i="22"/>
  <c r="P217" i="1" s="1"/>
  <c r="M13" i="22"/>
  <c r="O217" i="1" s="1"/>
  <c r="L13" i="22"/>
  <c r="N217" i="1" s="1"/>
  <c r="K13" i="22"/>
  <c r="J13" i="22"/>
  <c r="I13" i="22"/>
  <c r="H13" i="22"/>
  <c r="G13" i="22"/>
  <c r="F13" i="22"/>
  <c r="E13" i="22"/>
  <c r="D13" i="22"/>
  <c r="F217" i="1" s="1"/>
  <c r="C13" i="22"/>
  <c r="B13" i="22"/>
  <c r="A13" i="22"/>
  <c r="S12" i="22"/>
  <c r="R12" i="22"/>
  <c r="T216" i="1" s="1"/>
  <c r="Q12" i="22"/>
  <c r="S216" i="1" s="1"/>
  <c r="P12" i="22"/>
  <c r="O12" i="22"/>
  <c r="Q216" i="1" s="1"/>
  <c r="N12" i="22"/>
  <c r="M12" i="22"/>
  <c r="L12" i="22"/>
  <c r="K12" i="22"/>
  <c r="J12" i="22"/>
  <c r="I12" i="22"/>
  <c r="H12" i="22"/>
  <c r="G12" i="22"/>
  <c r="I216" i="1" s="1"/>
  <c r="F12" i="22"/>
  <c r="E12" i="22"/>
  <c r="D12" i="22"/>
  <c r="C12" i="22"/>
  <c r="B12" i="22"/>
  <c r="D216" i="1" s="1"/>
  <c r="A12" i="22"/>
  <c r="S11" i="22"/>
  <c r="R11" i="22"/>
  <c r="T215" i="1" s="1"/>
  <c r="Q11" i="22"/>
  <c r="P11" i="22"/>
  <c r="O11" i="22"/>
  <c r="N11" i="22"/>
  <c r="M11" i="22"/>
  <c r="L11" i="22"/>
  <c r="K11" i="22"/>
  <c r="J11" i="22"/>
  <c r="I11" i="22"/>
  <c r="H11" i="22"/>
  <c r="G11" i="22"/>
  <c r="F11" i="22"/>
  <c r="E11" i="22"/>
  <c r="G215" i="1" s="1"/>
  <c r="D11" i="22"/>
  <c r="F215" i="1" s="1"/>
  <c r="C11" i="22"/>
  <c r="B11" i="22"/>
  <c r="D215" i="1" s="1"/>
  <c r="A11" i="22"/>
  <c r="S10" i="22"/>
  <c r="U214" i="1" s="1"/>
  <c r="R10" i="22"/>
  <c r="Q10" i="22"/>
  <c r="P10" i="22"/>
  <c r="O10" i="22"/>
  <c r="N10" i="22"/>
  <c r="M10" i="22"/>
  <c r="L10" i="22"/>
  <c r="K10" i="22"/>
  <c r="J10" i="22"/>
  <c r="I10" i="22"/>
  <c r="H10" i="22"/>
  <c r="J214" i="1" s="1"/>
  <c r="G10" i="22"/>
  <c r="I214" i="1" s="1"/>
  <c r="F10" i="22"/>
  <c r="E10" i="22"/>
  <c r="G214" i="1" s="1"/>
  <c r="D10" i="22"/>
  <c r="C10" i="22"/>
  <c r="E214" i="1" s="1"/>
  <c r="B10" i="22"/>
  <c r="A10" i="22"/>
  <c r="S9" i="22"/>
  <c r="R9" i="22"/>
  <c r="Q9" i="22"/>
  <c r="P9" i="22"/>
  <c r="O9" i="22"/>
  <c r="N9" i="22"/>
  <c r="M9" i="22"/>
  <c r="L9" i="22"/>
  <c r="K9" i="22"/>
  <c r="M213" i="1" s="1"/>
  <c r="J9" i="22"/>
  <c r="L213" i="1" s="1"/>
  <c r="I9" i="22"/>
  <c r="H9" i="22"/>
  <c r="J213" i="1" s="1"/>
  <c r="G9" i="22"/>
  <c r="F9" i="22"/>
  <c r="E9" i="22"/>
  <c r="D9" i="22"/>
  <c r="C9" i="22"/>
  <c r="B9" i="22"/>
  <c r="A9" i="22"/>
  <c r="S8" i="22"/>
  <c r="R8" i="22"/>
  <c r="Q8" i="22"/>
  <c r="P8" i="22"/>
  <c r="O8" i="22"/>
  <c r="N8" i="22"/>
  <c r="P212" i="1" s="1"/>
  <c r="M8" i="22"/>
  <c r="O212" i="1" s="1"/>
  <c r="L8" i="22"/>
  <c r="K8" i="22"/>
  <c r="M212" i="1" s="1"/>
  <c r="J8" i="22"/>
  <c r="I8" i="22"/>
  <c r="H8" i="22"/>
  <c r="G8" i="22"/>
  <c r="F8" i="22"/>
  <c r="E8" i="22"/>
  <c r="D8" i="22"/>
  <c r="C8" i="22"/>
  <c r="B8" i="22"/>
  <c r="A8" i="22"/>
  <c r="S7" i="22"/>
  <c r="R7" i="22"/>
  <c r="Q7" i="22"/>
  <c r="S211" i="1" s="1"/>
  <c r="P7" i="22"/>
  <c r="R211" i="1" s="1"/>
  <c r="O7" i="22"/>
  <c r="Q211" i="1" s="1"/>
  <c r="N7" i="22"/>
  <c r="P211" i="1" s="1"/>
  <c r="M7" i="22"/>
  <c r="L7" i="22"/>
  <c r="K7" i="22"/>
  <c r="J7" i="22"/>
  <c r="I7" i="22"/>
  <c r="H7" i="22"/>
  <c r="G7" i="22"/>
  <c r="F7" i="22"/>
  <c r="H211" i="1" s="1"/>
  <c r="E7" i="22"/>
  <c r="D7" i="22"/>
  <c r="C7" i="22"/>
  <c r="B7" i="22"/>
  <c r="A7" i="22"/>
  <c r="S6" i="22"/>
  <c r="U210" i="1" s="1"/>
  <c r="R6" i="22"/>
  <c r="Q6" i="22"/>
  <c r="S210" i="1" s="1"/>
  <c r="P6" i="22"/>
  <c r="O6" i="22"/>
  <c r="N6" i="22"/>
  <c r="M6" i="22"/>
  <c r="L6" i="22"/>
  <c r="K6" i="22"/>
  <c r="J6" i="22"/>
  <c r="I6" i="22"/>
  <c r="K210" i="1" s="1"/>
  <c r="H6" i="22"/>
  <c r="G6" i="22"/>
  <c r="F6" i="22"/>
  <c r="E6" i="22"/>
  <c r="D6" i="22"/>
  <c r="F210" i="1" s="1"/>
  <c r="C6" i="22"/>
  <c r="E210" i="1" s="1"/>
  <c r="B6" i="22"/>
  <c r="A6" i="22"/>
  <c r="S5" i="22"/>
  <c r="R5" i="22"/>
  <c r="Q5" i="22"/>
  <c r="P5" i="22"/>
  <c r="O5" i="22"/>
  <c r="N5" i="22"/>
  <c r="M5" i="22"/>
  <c r="L5" i="22"/>
  <c r="K5" i="22"/>
  <c r="J5" i="22"/>
  <c r="I5" i="22"/>
  <c r="H5" i="22"/>
  <c r="G5" i="22"/>
  <c r="I209" i="1" s="1"/>
  <c r="F5" i="22"/>
  <c r="H209" i="1" s="1"/>
  <c r="E5" i="22"/>
  <c r="D5" i="22"/>
  <c r="F209" i="1" s="1"/>
  <c r="C5" i="22"/>
  <c r="E209" i="1" s="1"/>
  <c r="B5" i="22"/>
  <c r="A5" i="22"/>
  <c r="S4" i="22"/>
  <c r="R4" i="22"/>
  <c r="Q4" i="22"/>
  <c r="P4" i="22"/>
  <c r="O4" i="22"/>
  <c r="Q208" i="1" s="1"/>
  <c r="N4" i="22"/>
  <c r="M4" i="22"/>
  <c r="L4" i="22"/>
  <c r="K4" i="22"/>
  <c r="J4" i="22"/>
  <c r="L208" i="1" s="1"/>
  <c r="I4" i="22"/>
  <c r="K208" i="1" s="1"/>
  <c r="H4" i="22"/>
  <c r="G4" i="22"/>
  <c r="I208" i="1" s="1"/>
  <c r="F4" i="22"/>
  <c r="E4" i="22"/>
  <c r="G208" i="1" s="1"/>
  <c r="D4" i="22"/>
  <c r="C4" i="22"/>
  <c r="B4" i="22"/>
  <c r="A4" i="22"/>
  <c r="S3" i="22"/>
  <c r="R3" i="22"/>
  <c r="T207" i="1" s="1"/>
  <c r="Q3" i="22"/>
  <c r="P3" i="22"/>
  <c r="O3" i="22"/>
  <c r="N3" i="22"/>
  <c r="M3" i="22"/>
  <c r="O207" i="1" s="1"/>
  <c r="L3" i="22"/>
  <c r="N207" i="1" s="1"/>
  <c r="K3" i="22"/>
  <c r="J3" i="22"/>
  <c r="L207" i="1" s="1"/>
  <c r="I3" i="22"/>
  <c r="H3" i="22"/>
  <c r="G3" i="22"/>
  <c r="F3" i="22"/>
  <c r="E3" i="22"/>
  <c r="D3" i="22"/>
  <c r="C3" i="22"/>
  <c r="B3" i="22"/>
  <c r="D207" i="1" s="1"/>
  <c r="A3" i="22"/>
  <c r="S2" i="22"/>
  <c r="R2" i="22"/>
  <c r="Q2" i="22"/>
  <c r="P2" i="22"/>
  <c r="R206" i="1" s="1"/>
  <c r="O2" i="22"/>
  <c r="Q206" i="1" s="1"/>
  <c r="N2" i="22"/>
  <c r="M2" i="22"/>
  <c r="O206" i="1" s="1"/>
  <c r="L2" i="22"/>
  <c r="K2" i="22"/>
  <c r="J2" i="22"/>
  <c r="I2" i="22"/>
  <c r="H2" i="22"/>
  <c r="G2" i="22"/>
  <c r="F2" i="22"/>
  <c r="E2" i="22"/>
  <c r="G206" i="1" s="1"/>
  <c r="D2" i="22"/>
  <c r="C2" i="22"/>
  <c r="B2" i="22"/>
  <c r="A2" i="22"/>
  <c r="S1" i="22"/>
  <c r="R1" i="22"/>
  <c r="Q1" i="22"/>
  <c r="P1" i="22"/>
  <c r="O1" i="22"/>
  <c r="N1" i="22"/>
  <c r="M1" i="22"/>
  <c r="L1" i="22"/>
  <c r="K1" i="22"/>
  <c r="J1" i="22"/>
  <c r="I1" i="22"/>
  <c r="H1" i="22"/>
  <c r="G1" i="22"/>
  <c r="F1" i="22"/>
  <c r="E1" i="22"/>
  <c r="D1" i="22"/>
  <c r="C1" i="22"/>
  <c r="B1" i="22"/>
  <c r="A1" i="22"/>
  <c r="S18" i="21"/>
  <c r="U205" i="1" s="1"/>
  <c r="R18" i="21"/>
  <c r="Q18" i="21"/>
  <c r="P18" i="21"/>
  <c r="O18" i="21"/>
  <c r="N18" i="21"/>
  <c r="M18" i="21"/>
  <c r="L18" i="21"/>
  <c r="K18" i="21"/>
  <c r="M205" i="1" s="1"/>
  <c r="J18" i="21"/>
  <c r="I18" i="21"/>
  <c r="H18" i="21"/>
  <c r="G18" i="21"/>
  <c r="F18" i="21"/>
  <c r="H205" i="1" s="1"/>
  <c r="E18" i="21"/>
  <c r="G205" i="1" s="1"/>
  <c r="D18" i="21"/>
  <c r="B18" i="21"/>
  <c r="D205" i="1" s="1"/>
  <c r="A18" i="21"/>
  <c r="S17" i="21"/>
  <c r="R17" i="21"/>
  <c r="Q17" i="21"/>
  <c r="P17" i="21"/>
  <c r="O17" i="21"/>
  <c r="N17" i="21"/>
  <c r="M17" i="21"/>
  <c r="O204" i="1" s="1"/>
  <c r="L17" i="21"/>
  <c r="K17" i="21"/>
  <c r="J17" i="21"/>
  <c r="I17" i="21"/>
  <c r="H17" i="21"/>
  <c r="J204" i="1" s="1"/>
  <c r="G17" i="21"/>
  <c r="I204" i="1" s="1"/>
  <c r="F17" i="21"/>
  <c r="E17" i="21"/>
  <c r="G204" i="1" s="1"/>
  <c r="D17" i="21"/>
  <c r="B17" i="21"/>
  <c r="A17" i="21"/>
  <c r="S16" i="21"/>
  <c r="R16" i="21"/>
  <c r="Q16" i="21"/>
  <c r="P16" i="21"/>
  <c r="O16" i="21"/>
  <c r="Q203" i="1" s="1"/>
  <c r="N16" i="21"/>
  <c r="M16" i="21"/>
  <c r="L16" i="21"/>
  <c r="K16" i="21"/>
  <c r="J16" i="21"/>
  <c r="L203" i="1" s="1"/>
  <c r="I16" i="21"/>
  <c r="K203" i="1" s="1"/>
  <c r="H16" i="21"/>
  <c r="G16" i="21"/>
  <c r="I203" i="1" s="1"/>
  <c r="F16" i="21"/>
  <c r="E16" i="21"/>
  <c r="D16" i="21"/>
  <c r="B16" i="21"/>
  <c r="A16" i="21"/>
  <c r="S15" i="21"/>
  <c r="R15" i="21"/>
  <c r="Q15" i="21"/>
  <c r="S202" i="1" s="1"/>
  <c r="P15" i="21"/>
  <c r="O15" i="21"/>
  <c r="N15" i="21"/>
  <c r="M15" i="21"/>
  <c r="L15" i="21"/>
  <c r="N202" i="1" s="1"/>
  <c r="K15" i="21"/>
  <c r="M202" i="1" s="1"/>
  <c r="J15" i="21"/>
  <c r="I15" i="21"/>
  <c r="K202" i="1" s="1"/>
  <c r="H15" i="21"/>
  <c r="G15" i="21"/>
  <c r="F15" i="21"/>
  <c r="E15" i="21"/>
  <c r="D15" i="21"/>
  <c r="B15" i="21"/>
  <c r="A15" i="21"/>
  <c r="S14" i="21"/>
  <c r="U201" i="1" s="1"/>
  <c r="R14" i="21"/>
  <c r="Q14" i="21"/>
  <c r="P14" i="21"/>
  <c r="O14" i="21"/>
  <c r="N14" i="21"/>
  <c r="P201" i="1" s="1"/>
  <c r="M14" i="21"/>
  <c r="O201" i="1" s="1"/>
  <c r="L14" i="21"/>
  <c r="K14" i="21"/>
  <c r="M201" i="1" s="1"/>
  <c r="J14" i="21"/>
  <c r="I14" i="21"/>
  <c r="H14" i="21"/>
  <c r="G14" i="21"/>
  <c r="F14" i="21"/>
  <c r="E14" i="21"/>
  <c r="D14" i="21"/>
  <c r="B14" i="21"/>
  <c r="D201" i="1" s="1"/>
  <c r="A14" i="21"/>
  <c r="S13" i="21"/>
  <c r="R13" i="21"/>
  <c r="Q13" i="21"/>
  <c r="P13" i="21"/>
  <c r="R200" i="1" s="1"/>
  <c r="O13" i="21"/>
  <c r="Q200" i="1" s="1"/>
  <c r="N13" i="21"/>
  <c r="M13" i="21"/>
  <c r="O200" i="1" s="1"/>
  <c r="L13" i="21"/>
  <c r="K13" i="21"/>
  <c r="J13" i="21"/>
  <c r="I13" i="21"/>
  <c r="H13" i="21"/>
  <c r="G13" i="21"/>
  <c r="F13" i="21"/>
  <c r="E13" i="21"/>
  <c r="G200" i="1" s="1"/>
  <c r="D13" i="21"/>
  <c r="B13" i="21"/>
  <c r="A13" i="21"/>
  <c r="S12" i="21"/>
  <c r="R12" i="21"/>
  <c r="T199" i="1" s="1"/>
  <c r="Q12" i="21"/>
  <c r="S199" i="1" s="1"/>
  <c r="P12" i="21"/>
  <c r="O12" i="21"/>
  <c r="Q199" i="1" s="1"/>
  <c r="N12" i="21"/>
  <c r="M12" i="21"/>
  <c r="L12" i="21"/>
  <c r="K12" i="21"/>
  <c r="J12" i="21"/>
  <c r="I12" i="21"/>
  <c r="H12" i="21"/>
  <c r="G12" i="21"/>
  <c r="I199" i="1" s="1"/>
  <c r="F12" i="21"/>
  <c r="E12" i="21"/>
  <c r="D12" i="21"/>
  <c r="B12" i="21"/>
  <c r="A12" i="21"/>
  <c r="S11" i="21"/>
  <c r="U198" i="1" s="1"/>
  <c r="R11" i="21"/>
  <c r="Q11" i="21"/>
  <c r="S198" i="1" s="1"/>
  <c r="P11" i="21"/>
  <c r="O11" i="21"/>
  <c r="N11" i="21"/>
  <c r="M11" i="21"/>
  <c r="L11" i="21"/>
  <c r="K11" i="21"/>
  <c r="J11" i="21"/>
  <c r="I11" i="21"/>
  <c r="K198" i="1" s="1"/>
  <c r="H11" i="21"/>
  <c r="G11" i="21"/>
  <c r="F11" i="21"/>
  <c r="E11" i="21"/>
  <c r="D11" i="21"/>
  <c r="F198" i="1" s="1"/>
  <c r="B11" i="21"/>
  <c r="D198" i="1" s="1"/>
  <c r="A11" i="21"/>
  <c r="S10" i="21"/>
  <c r="U197" i="1" s="1"/>
  <c r="R10" i="21"/>
  <c r="Q10" i="21"/>
  <c r="P10" i="21"/>
  <c r="O10" i="21"/>
  <c r="N10" i="21"/>
  <c r="M10" i="21"/>
  <c r="L10" i="21"/>
  <c r="K10" i="21"/>
  <c r="M197" i="1" s="1"/>
  <c r="J10" i="21"/>
  <c r="I10" i="21"/>
  <c r="H10" i="21"/>
  <c r="G10" i="21"/>
  <c r="F10" i="21"/>
  <c r="H197" i="1" s="1"/>
  <c r="E10" i="21"/>
  <c r="G197" i="1" s="1"/>
  <c r="D10" i="21"/>
  <c r="B10" i="21"/>
  <c r="D197" i="1" s="1"/>
  <c r="A10" i="21"/>
  <c r="S9" i="21"/>
  <c r="R9" i="21"/>
  <c r="Q9" i="21"/>
  <c r="P9" i="21"/>
  <c r="O9" i="21"/>
  <c r="N9" i="21"/>
  <c r="M9" i="21"/>
  <c r="O196" i="1" s="1"/>
  <c r="L9" i="21"/>
  <c r="K9" i="21"/>
  <c r="J9" i="21"/>
  <c r="I9" i="21"/>
  <c r="H9" i="21"/>
  <c r="J196" i="1" s="1"/>
  <c r="G9" i="21"/>
  <c r="I196" i="1" s="1"/>
  <c r="F9" i="21"/>
  <c r="E9" i="21"/>
  <c r="G196" i="1" s="1"/>
  <c r="D9" i="21"/>
  <c r="B9" i="21"/>
  <c r="A9" i="21"/>
  <c r="S8" i="21"/>
  <c r="R8" i="21"/>
  <c r="Q8" i="21"/>
  <c r="P8" i="21"/>
  <c r="O8" i="21"/>
  <c r="Q195" i="1" s="1"/>
  <c r="N8" i="21"/>
  <c r="M8" i="21"/>
  <c r="L8" i="21"/>
  <c r="K8" i="21"/>
  <c r="J8" i="21"/>
  <c r="L195" i="1" s="1"/>
  <c r="I8" i="21"/>
  <c r="K195" i="1" s="1"/>
  <c r="H8" i="21"/>
  <c r="G8" i="21"/>
  <c r="I195" i="1" s="1"/>
  <c r="F8" i="21"/>
  <c r="E8" i="21"/>
  <c r="D8" i="21"/>
  <c r="B8" i="21"/>
  <c r="A8" i="21"/>
  <c r="S7" i="21"/>
  <c r="R7" i="21"/>
  <c r="Q7" i="21"/>
  <c r="S194" i="1" s="1"/>
  <c r="P7" i="21"/>
  <c r="O7" i="21"/>
  <c r="N7" i="21"/>
  <c r="M7" i="21"/>
  <c r="L7" i="21"/>
  <c r="N194" i="1" s="1"/>
  <c r="K7" i="21"/>
  <c r="M194" i="1" s="1"/>
  <c r="J7" i="21"/>
  <c r="I7" i="21"/>
  <c r="K194" i="1" s="1"/>
  <c r="H7" i="21"/>
  <c r="G7" i="21"/>
  <c r="F7" i="21"/>
  <c r="E7" i="21"/>
  <c r="D7" i="21"/>
  <c r="B7" i="21"/>
  <c r="A7" i="21"/>
  <c r="S6" i="21"/>
  <c r="U193" i="1" s="1"/>
  <c r="R6" i="21"/>
  <c r="Q6" i="21"/>
  <c r="P6" i="21"/>
  <c r="O6" i="21"/>
  <c r="N6" i="21"/>
  <c r="P193" i="1" s="1"/>
  <c r="M6" i="21"/>
  <c r="O193" i="1" s="1"/>
  <c r="L6" i="21"/>
  <c r="K6" i="21"/>
  <c r="M193" i="1" s="1"/>
  <c r="J6" i="21"/>
  <c r="I6" i="21"/>
  <c r="H6" i="21"/>
  <c r="G6" i="21"/>
  <c r="F6" i="21"/>
  <c r="E6" i="21"/>
  <c r="D6" i="21"/>
  <c r="B6" i="21"/>
  <c r="D193" i="1" s="1"/>
  <c r="A6" i="21"/>
  <c r="S5" i="21"/>
  <c r="R5" i="21"/>
  <c r="Q5" i="21"/>
  <c r="P5" i="21"/>
  <c r="R192" i="1" s="1"/>
  <c r="O5" i="21"/>
  <c r="Q192" i="1" s="1"/>
  <c r="N5" i="21"/>
  <c r="M5" i="21"/>
  <c r="O192" i="1" s="1"/>
  <c r="L5" i="21"/>
  <c r="K5" i="21"/>
  <c r="J5" i="21"/>
  <c r="I5" i="21"/>
  <c r="H5" i="21"/>
  <c r="G5" i="21"/>
  <c r="F5" i="21"/>
  <c r="E5" i="21"/>
  <c r="G192" i="1" s="1"/>
  <c r="D5" i="21"/>
  <c r="B5" i="21"/>
  <c r="A5" i="21"/>
  <c r="S4" i="21"/>
  <c r="R4" i="21"/>
  <c r="T191" i="1" s="1"/>
  <c r="Q4" i="21"/>
  <c r="S191" i="1" s="1"/>
  <c r="P4" i="21"/>
  <c r="O4" i="21"/>
  <c r="Q191" i="1" s="1"/>
  <c r="N4" i="21"/>
  <c r="M4" i="21"/>
  <c r="L4" i="21"/>
  <c r="K4" i="21"/>
  <c r="J4" i="21"/>
  <c r="I4" i="21"/>
  <c r="H4" i="21"/>
  <c r="G4" i="21"/>
  <c r="I191" i="1" s="1"/>
  <c r="F4" i="21"/>
  <c r="E4" i="21"/>
  <c r="D4" i="21"/>
  <c r="B4" i="21"/>
  <c r="A4" i="21"/>
  <c r="S3" i="21"/>
  <c r="U190" i="1" s="1"/>
  <c r="R3" i="21"/>
  <c r="Q3" i="21"/>
  <c r="S190" i="1" s="1"/>
  <c r="P3" i="21"/>
  <c r="O3" i="21"/>
  <c r="N3" i="21"/>
  <c r="M3" i="21"/>
  <c r="L3" i="21"/>
  <c r="K3" i="21"/>
  <c r="J3" i="21"/>
  <c r="I3" i="21"/>
  <c r="K190" i="1" s="1"/>
  <c r="H3" i="21"/>
  <c r="G3" i="21"/>
  <c r="F3" i="21"/>
  <c r="E3" i="21"/>
  <c r="D3" i="21"/>
  <c r="F190" i="1" s="1"/>
  <c r="B3" i="21"/>
  <c r="D190" i="1" s="1"/>
  <c r="A3" i="21"/>
  <c r="S2" i="21"/>
  <c r="U189" i="1" s="1"/>
  <c r="R2" i="21"/>
  <c r="Q2" i="21"/>
  <c r="P2" i="21"/>
  <c r="O2" i="21"/>
  <c r="N2" i="21"/>
  <c r="M2" i="21"/>
  <c r="L2" i="21"/>
  <c r="K2" i="21"/>
  <c r="M189" i="1" s="1"/>
  <c r="J2" i="21"/>
  <c r="I2" i="21"/>
  <c r="H2" i="21"/>
  <c r="G2" i="21"/>
  <c r="F2" i="21"/>
  <c r="H189" i="1" s="1"/>
  <c r="E2" i="21"/>
  <c r="G189" i="1" s="1"/>
  <c r="D2" i="21"/>
  <c r="B2" i="21"/>
  <c r="D189" i="1" s="1"/>
  <c r="A2" i="21"/>
  <c r="S1" i="21"/>
  <c r="R1" i="21"/>
  <c r="Q1" i="21"/>
  <c r="P1" i="21"/>
  <c r="O1" i="21"/>
  <c r="N1" i="21"/>
  <c r="M1" i="21"/>
  <c r="L1" i="21"/>
  <c r="K1" i="21"/>
  <c r="J1" i="21"/>
  <c r="I1" i="21"/>
  <c r="H1" i="21"/>
  <c r="G1" i="21"/>
  <c r="F1" i="21"/>
  <c r="E1" i="21"/>
  <c r="D1" i="21"/>
  <c r="C1" i="21"/>
  <c r="B1" i="21"/>
  <c r="A1" i="21"/>
  <c r="S94" i="20"/>
  <c r="R94" i="20"/>
  <c r="Q94" i="20"/>
  <c r="P94" i="20"/>
  <c r="R188" i="1" s="1"/>
  <c r="O94" i="20"/>
  <c r="N94" i="20"/>
  <c r="M94" i="20"/>
  <c r="L94" i="20"/>
  <c r="K94" i="20"/>
  <c r="M188" i="1" s="1"/>
  <c r="J94" i="20"/>
  <c r="L188" i="1" s="1"/>
  <c r="I94" i="20"/>
  <c r="H94" i="20"/>
  <c r="J188" i="1" s="1"/>
  <c r="G94" i="20"/>
  <c r="I188" i="1" s="1"/>
  <c r="F94" i="20"/>
  <c r="E94" i="20"/>
  <c r="D94" i="20"/>
  <c r="B94" i="20"/>
  <c r="A94" i="20"/>
  <c r="S93" i="20"/>
  <c r="R93" i="20"/>
  <c r="T187" i="1" s="1"/>
  <c r="Q93" i="20"/>
  <c r="P93" i="20"/>
  <c r="O93" i="20"/>
  <c r="N93" i="20"/>
  <c r="M93" i="20"/>
  <c r="O187" i="1" s="1"/>
  <c r="L93" i="20"/>
  <c r="N187" i="1" s="1"/>
  <c r="K93" i="20"/>
  <c r="J93" i="20"/>
  <c r="L187" i="1" s="1"/>
  <c r="I93" i="20"/>
  <c r="K187" i="1" s="1"/>
  <c r="H93" i="20"/>
  <c r="G93" i="20"/>
  <c r="F93" i="20"/>
  <c r="E93" i="20"/>
  <c r="D93" i="20"/>
  <c r="B93" i="20"/>
  <c r="A93" i="20"/>
  <c r="S92" i="20"/>
  <c r="R92" i="20"/>
  <c r="Q92" i="20"/>
  <c r="P92" i="20"/>
  <c r="O92" i="20"/>
  <c r="Q186" i="1" s="1"/>
  <c r="N92" i="20"/>
  <c r="P186" i="1" s="1"/>
  <c r="M92" i="20"/>
  <c r="L92" i="20"/>
  <c r="N186" i="1" s="1"/>
  <c r="K92" i="20"/>
  <c r="M186" i="1" s="1"/>
  <c r="J92" i="20"/>
  <c r="I92" i="20"/>
  <c r="H92" i="20"/>
  <c r="G92" i="20"/>
  <c r="F92" i="20"/>
  <c r="E92" i="20"/>
  <c r="D92" i="20"/>
  <c r="F186" i="1" s="1"/>
  <c r="B92" i="20"/>
  <c r="A92" i="20"/>
  <c r="S91" i="20"/>
  <c r="R91" i="20"/>
  <c r="Q91" i="20"/>
  <c r="S185" i="1" s="1"/>
  <c r="P91" i="20"/>
  <c r="R185" i="1" s="1"/>
  <c r="O91" i="20"/>
  <c r="N91" i="20"/>
  <c r="P185" i="1" s="1"/>
  <c r="M91" i="20"/>
  <c r="O185" i="1" s="1"/>
  <c r="L91" i="20"/>
  <c r="K91" i="20"/>
  <c r="J91" i="20"/>
  <c r="I91" i="20"/>
  <c r="H91" i="20"/>
  <c r="G91" i="20"/>
  <c r="F91" i="20"/>
  <c r="H185" i="1" s="1"/>
  <c r="E91" i="20"/>
  <c r="D91" i="20"/>
  <c r="B91" i="20"/>
  <c r="A91" i="20"/>
  <c r="S90" i="20"/>
  <c r="U184" i="1" s="1"/>
  <c r="R90" i="20"/>
  <c r="T184" i="1" s="1"/>
  <c r="Q90" i="20"/>
  <c r="P90" i="20"/>
  <c r="R184" i="1" s="1"/>
  <c r="O90" i="20"/>
  <c r="Q184" i="1" s="1"/>
  <c r="N90" i="20"/>
  <c r="M90" i="20"/>
  <c r="L90" i="20"/>
  <c r="K90" i="20"/>
  <c r="J90" i="20"/>
  <c r="I90" i="20"/>
  <c r="H90" i="20"/>
  <c r="J184" i="1" s="1"/>
  <c r="G90" i="20"/>
  <c r="F90" i="20"/>
  <c r="E90" i="20"/>
  <c r="D90" i="20"/>
  <c r="B90" i="20"/>
  <c r="D184" i="1" s="1"/>
  <c r="A90" i="20"/>
  <c r="S89" i="20"/>
  <c r="R89" i="20"/>
  <c r="T183" i="1" s="1"/>
  <c r="Q89" i="20"/>
  <c r="S183" i="1" s="1"/>
  <c r="P89" i="20"/>
  <c r="O89" i="20"/>
  <c r="N89" i="20"/>
  <c r="M89" i="20"/>
  <c r="L89" i="20"/>
  <c r="K89" i="20"/>
  <c r="J89" i="20"/>
  <c r="L183" i="1" s="1"/>
  <c r="I89" i="20"/>
  <c r="H89" i="20"/>
  <c r="G89" i="20"/>
  <c r="F89" i="20"/>
  <c r="E89" i="20"/>
  <c r="G183" i="1" s="1"/>
  <c r="D89" i="20"/>
  <c r="F183" i="1" s="1"/>
  <c r="B89" i="20"/>
  <c r="A89" i="20"/>
  <c r="S88" i="20"/>
  <c r="U182" i="1" s="1"/>
  <c r="R88" i="20"/>
  <c r="Q88" i="20"/>
  <c r="P88" i="20"/>
  <c r="O88" i="20"/>
  <c r="N88" i="20"/>
  <c r="M88" i="20"/>
  <c r="L88" i="20"/>
  <c r="N182" i="1" s="1"/>
  <c r="K88" i="20"/>
  <c r="J88" i="20"/>
  <c r="I88" i="20"/>
  <c r="H88" i="20"/>
  <c r="G88" i="20"/>
  <c r="I182" i="1" s="1"/>
  <c r="F88" i="20"/>
  <c r="H182" i="1" s="1"/>
  <c r="E88" i="20"/>
  <c r="D88" i="20"/>
  <c r="F182" i="1" s="1"/>
  <c r="B88" i="20"/>
  <c r="A88" i="20"/>
  <c r="S87" i="20"/>
  <c r="R87" i="20"/>
  <c r="Q87" i="20"/>
  <c r="P87" i="20"/>
  <c r="O87" i="20"/>
  <c r="N87" i="20"/>
  <c r="P181" i="1" s="1"/>
  <c r="M87" i="20"/>
  <c r="L87" i="20"/>
  <c r="K87" i="20"/>
  <c r="J87" i="20"/>
  <c r="I87" i="20"/>
  <c r="K181" i="1" s="1"/>
  <c r="H87" i="20"/>
  <c r="J181" i="1" s="1"/>
  <c r="G87" i="20"/>
  <c r="F87" i="20"/>
  <c r="H181" i="1" s="1"/>
  <c r="E87" i="20"/>
  <c r="G181" i="1" s="1"/>
  <c r="D87" i="20"/>
  <c r="B87" i="20"/>
  <c r="A87" i="20"/>
  <c r="S86" i="20"/>
  <c r="R86" i="20"/>
  <c r="Q86" i="20"/>
  <c r="P86" i="20"/>
  <c r="R180" i="1" s="1"/>
  <c r="O86" i="20"/>
  <c r="N86" i="20"/>
  <c r="M86" i="20"/>
  <c r="L86" i="20"/>
  <c r="K86" i="20"/>
  <c r="M180" i="1" s="1"/>
  <c r="J86" i="20"/>
  <c r="L180" i="1" s="1"/>
  <c r="I86" i="20"/>
  <c r="H86" i="20"/>
  <c r="J180" i="1" s="1"/>
  <c r="G86" i="20"/>
  <c r="I180" i="1" s="1"/>
  <c r="F86" i="20"/>
  <c r="E86" i="20"/>
  <c r="D86" i="20"/>
  <c r="B86" i="20"/>
  <c r="A86" i="20"/>
  <c r="S85" i="20"/>
  <c r="R85" i="20"/>
  <c r="T179" i="1" s="1"/>
  <c r="Q85" i="20"/>
  <c r="P85" i="20"/>
  <c r="O85" i="20"/>
  <c r="N85" i="20"/>
  <c r="M85" i="20"/>
  <c r="O179" i="1" s="1"/>
  <c r="L85" i="20"/>
  <c r="N179" i="1" s="1"/>
  <c r="K85" i="20"/>
  <c r="J85" i="20"/>
  <c r="L179" i="1" s="1"/>
  <c r="I85" i="20"/>
  <c r="K179" i="1" s="1"/>
  <c r="H85" i="20"/>
  <c r="G85" i="20"/>
  <c r="F85" i="20"/>
  <c r="E85" i="20"/>
  <c r="D85" i="20"/>
  <c r="B85" i="20"/>
  <c r="A85" i="20"/>
  <c r="S84" i="20"/>
  <c r="R84" i="20"/>
  <c r="Q84" i="20"/>
  <c r="P84" i="20"/>
  <c r="O84" i="20"/>
  <c r="Q178" i="1" s="1"/>
  <c r="N84" i="20"/>
  <c r="P178" i="1" s="1"/>
  <c r="M84" i="20"/>
  <c r="L84" i="20"/>
  <c r="N178" i="1" s="1"/>
  <c r="K84" i="20"/>
  <c r="M178" i="1" s="1"/>
  <c r="J84" i="20"/>
  <c r="I84" i="20"/>
  <c r="H84" i="20"/>
  <c r="G84" i="20"/>
  <c r="F84" i="20"/>
  <c r="E84" i="20"/>
  <c r="D84" i="20"/>
  <c r="F178" i="1" s="1"/>
  <c r="B84" i="20"/>
  <c r="A84" i="20"/>
  <c r="S83" i="20"/>
  <c r="R83" i="20"/>
  <c r="Q83" i="20"/>
  <c r="S177" i="1" s="1"/>
  <c r="P83" i="20"/>
  <c r="R177" i="1" s="1"/>
  <c r="O83" i="20"/>
  <c r="N83" i="20"/>
  <c r="P177" i="1" s="1"/>
  <c r="M83" i="20"/>
  <c r="O177" i="1" s="1"/>
  <c r="L83" i="20"/>
  <c r="K83" i="20"/>
  <c r="J83" i="20"/>
  <c r="I83" i="20"/>
  <c r="H83" i="20"/>
  <c r="G83" i="20"/>
  <c r="F83" i="20"/>
  <c r="H177" i="1" s="1"/>
  <c r="E83" i="20"/>
  <c r="D83" i="20"/>
  <c r="B83" i="20"/>
  <c r="A83" i="20"/>
  <c r="S82" i="20"/>
  <c r="U176" i="1" s="1"/>
  <c r="R82" i="20"/>
  <c r="T176" i="1" s="1"/>
  <c r="Q82" i="20"/>
  <c r="P82" i="20"/>
  <c r="R176" i="1" s="1"/>
  <c r="O82" i="20"/>
  <c r="Q176" i="1" s="1"/>
  <c r="N82" i="20"/>
  <c r="M82" i="20"/>
  <c r="L82" i="20"/>
  <c r="K82" i="20"/>
  <c r="J82" i="20"/>
  <c r="I82" i="20"/>
  <c r="H82" i="20"/>
  <c r="J176" i="1" s="1"/>
  <c r="G82" i="20"/>
  <c r="F82" i="20"/>
  <c r="E82" i="20"/>
  <c r="D82" i="20"/>
  <c r="B82" i="20"/>
  <c r="D176" i="1" s="1"/>
  <c r="A82" i="20"/>
  <c r="S81" i="20"/>
  <c r="R81" i="20"/>
  <c r="T175" i="1" s="1"/>
  <c r="Q81" i="20"/>
  <c r="S175" i="1" s="1"/>
  <c r="P81" i="20"/>
  <c r="O81" i="20"/>
  <c r="N81" i="20"/>
  <c r="M81" i="20"/>
  <c r="L81" i="20"/>
  <c r="K81" i="20"/>
  <c r="J81" i="20"/>
  <c r="L175" i="1" s="1"/>
  <c r="I81" i="20"/>
  <c r="H81" i="20"/>
  <c r="G81" i="20"/>
  <c r="F81" i="20"/>
  <c r="E81" i="20"/>
  <c r="G175" i="1" s="1"/>
  <c r="D81" i="20"/>
  <c r="F175" i="1" s="1"/>
  <c r="B81" i="20"/>
  <c r="A81" i="20"/>
  <c r="S80" i="20"/>
  <c r="U174" i="1" s="1"/>
  <c r="R80" i="20"/>
  <c r="Q80" i="20"/>
  <c r="P80" i="20"/>
  <c r="O80" i="20"/>
  <c r="N80" i="20"/>
  <c r="M80" i="20"/>
  <c r="L80" i="20"/>
  <c r="N174" i="1" s="1"/>
  <c r="K80" i="20"/>
  <c r="J80" i="20"/>
  <c r="I80" i="20"/>
  <c r="H80" i="20"/>
  <c r="G80" i="20"/>
  <c r="I174" i="1" s="1"/>
  <c r="F80" i="20"/>
  <c r="H174" i="1" s="1"/>
  <c r="E80" i="20"/>
  <c r="D80" i="20"/>
  <c r="F174" i="1" s="1"/>
  <c r="B80" i="20"/>
  <c r="D174" i="1" s="1"/>
  <c r="A80" i="20"/>
  <c r="S79" i="20"/>
  <c r="R79" i="20"/>
  <c r="Q79" i="20"/>
  <c r="P79" i="20"/>
  <c r="O79" i="20"/>
  <c r="N79" i="20"/>
  <c r="P173" i="1" s="1"/>
  <c r="M79" i="20"/>
  <c r="L79" i="20"/>
  <c r="K79" i="20"/>
  <c r="J79" i="20"/>
  <c r="I79" i="20"/>
  <c r="K173" i="1" s="1"/>
  <c r="H79" i="20"/>
  <c r="J173" i="1" s="1"/>
  <c r="G79" i="20"/>
  <c r="F79" i="20"/>
  <c r="H173" i="1" s="1"/>
  <c r="E79" i="20"/>
  <c r="G173" i="1" s="1"/>
  <c r="D79" i="20"/>
  <c r="B79" i="20"/>
  <c r="A79" i="20"/>
  <c r="S78" i="20"/>
  <c r="R78" i="20"/>
  <c r="Q78" i="20"/>
  <c r="P78" i="20"/>
  <c r="R172" i="1" s="1"/>
  <c r="O78" i="20"/>
  <c r="N78" i="20"/>
  <c r="M78" i="20"/>
  <c r="L78" i="20"/>
  <c r="K78" i="20"/>
  <c r="M172" i="1" s="1"/>
  <c r="J78" i="20"/>
  <c r="L172" i="1" s="1"/>
  <c r="I78" i="20"/>
  <c r="H78" i="20"/>
  <c r="J172" i="1" s="1"/>
  <c r="G78" i="20"/>
  <c r="I172" i="1" s="1"/>
  <c r="F78" i="20"/>
  <c r="H172" i="1" s="1"/>
  <c r="E78" i="20"/>
  <c r="D78" i="20"/>
  <c r="B78" i="20"/>
  <c r="A78" i="20"/>
  <c r="S77" i="20"/>
  <c r="R77" i="20"/>
  <c r="T171" i="1" s="1"/>
  <c r="Q77" i="20"/>
  <c r="P77" i="20"/>
  <c r="O77" i="20"/>
  <c r="N77" i="20"/>
  <c r="M77" i="20"/>
  <c r="O171" i="1" s="1"/>
  <c r="L77" i="20"/>
  <c r="N171" i="1" s="1"/>
  <c r="K77" i="20"/>
  <c r="J77" i="20"/>
  <c r="L171" i="1" s="1"/>
  <c r="I77" i="20"/>
  <c r="K171" i="1" s="1"/>
  <c r="H77" i="20"/>
  <c r="J171" i="1" s="1"/>
  <c r="G77" i="20"/>
  <c r="F77" i="20"/>
  <c r="E77" i="20"/>
  <c r="D77" i="20"/>
  <c r="B77" i="20"/>
  <c r="A77" i="20"/>
  <c r="S76" i="20"/>
  <c r="R76" i="20"/>
  <c r="Q76" i="20"/>
  <c r="P76" i="20"/>
  <c r="O76" i="20"/>
  <c r="Q170" i="1" s="1"/>
  <c r="N76" i="20"/>
  <c r="P170" i="1" s="1"/>
  <c r="M76" i="20"/>
  <c r="L76" i="20"/>
  <c r="N170" i="1" s="1"/>
  <c r="K76" i="20"/>
  <c r="M170" i="1" s="1"/>
  <c r="J76" i="20"/>
  <c r="L170" i="1" s="1"/>
  <c r="I76" i="20"/>
  <c r="H76" i="20"/>
  <c r="G76" i="20"/>
  <c r="F76" i="20"/>
  <c r="E76" i="20"/>
  <c r="D76" i="20"/>
  <c r="F170" i="1" s="1"/>
  <c r="B76" i="20"/>
  <c r="A76" i="20"/>
  <c r="S75" i="20"/>
  <c r="R75" i="20"/>
  <c r="Q75" i="20"/>
  <c r="S169" i="1" s="1"/>
  <c r="P75" i="20"/>
  <c r="R169" i="1" s="1"/>
  <c r="O75" i="20"/>
  <c r="N75" i="20"/>
  <c r="P169" i="1" s="1"/>
  <c r="M75" i="20"/>
  <c r="O169" i="1" s="1"/>
  <c r="L75" i="20"/>
  <c r="N169" i="1" s="1"/>
  <c r="K75" i="20"/>
  <c r="J75" i="20"/>
  <c r="I75" i="20"/>
  <c r="H75" i="20"/>
  <c r="G75" i="20"/>
  <c r="F75" i="20"/>
  <c r="H169" i="1" s="1"/>
  <c r="E75" i="20"/>
  <c r="D75" i="20"/>
  <c r="B75" i="20"/>
  <c r="A75" i="20"/>
  <c r="S74" i="20"/>
  <c r="U168" i="1" s="1"/>
  <c r="R74" i="20"/>
  <c r="T168" i="1" s="1"/>
  <c r="Q74" i="20"/>
  <c r="P74" i="20"/>
  <c r="R168" i="1" s="1"/>
  <c r="O74" i="20"/>
  <c r="Q168" i="1" s="1"/>
  <c r="N74" i="20"/>
  <c r="M74" i="20"/>
  <c r="L74" i="20"/>
  <c r="K74" i="20"/>
  <c r="J74" i="20"/>
  <c r="I74" i="20"/>
  <c r="H74" i="20"/>
  <c r="J168" i="1" s="1"/>
  <c r="G74" i="20"/>
  <c r="F74" i="20"/>
  <c r="E74" i="20"/>
  <c r="D74" i="20"/>
  <c r="B74" i="20"/>
  <c r="D168" i="1" s="1"/>
  <c r="A74" i="20"/>
  <c r="S73" i="20"/>
  <c r="R73" i="20"/>
  <c r="T167" i="1" s="1"/>
  <c r="Q73" i="20"/>
  <c r="S167" i="1" s="1"/>
  <c r="P73" i="20"/>
  <c r="R167" i="1" s="1"/>
  <c r="O73" i="20"/>
  <c r="N73" i="20"/>
  <c r="M73" i="20"/>
  <c r="L73" i="20"/>
  <c r="K73" i="20"/>
  <c r="J73" i="20"/>
  <c r="L167" i="1" s="1"/>
  <c r="I73" i="20"/>
  <c r="H73" i="20"/>
  <c r="G73" i="20"/>
  <c r="F73" i="20"/>
  <c r="E73" i="20"/>
  <c r="G167" i="1" s="1"/>
  <c r="D73" i="20"/>
  <c r="F167" i="1" s="1"/>
  <c r="B73" i="20"/>
  <c r="D167" i="1" s="1"/>
  <c r="A73" i="20"/>
  <c r="S72" i="20"/>
  <c r="U166" i="1" s="1"/>
  <c r="R72" i="20"/>
  <c r="T166" i="1" s="1"/>
  <c r="Q72" i="20"/>
  <c r="P72" i="20"/>
  <c r="O72" i="20"/>
  <c r="N72" i="20"/>
  <c r="M72" i="20"/>
  <c r="L72" i="20"/>
  <c r="N166" i="1" s="1"/>
  <c r="K72" i="20"/>
  <c r="J72" i="20"/>
  <c r="I72" i="20"/>
  <c r="H72" i="20"/>
  <c r="G72" i="20"/>
  <c r="I166" i="1" s="1"/>
  <c r="F72" i="20"/>
  <c r="H166" i="1" s="1"/>
  <c r="E72" i="20"/>
  <c r="D72" i="20"/>
  <c r="F166" i="1" s="1"/>
  <c r="B72" i="20"/>
  <c r="D166" i="1" s="1"/>
  <c r="A72" i="20"/>
  <c r="S71" i="20"/>
  <c r="R71" i="20"/>
  <c r="Q71" i="20"/>
  <c r="P71" i="20"/>
  <c r="O71" i="20"/>
  <c r="N71" i="20"/>
  <c r="P165" i="1" s="1"/>
  <c r="M71" i="20"/>
  <c r="L71" i="20"/>
  <c r="K71" i="20"/>
  <c r="J71" i="20"/>
  <c r="I71" i="20"/>
  <c r="K165" i="1" s="1"/>
  <c r="H71" i="20"/>
  <c r="J165" i="1" s="1"/>
  <c r="G71" i="20"/>
  <c r="I165" i="1" s="1"/>
  <c r="F71" i="20"/>
  <c r="H165" i="1" s="1"/>
  <c r="E71" i="20"/>
  <c r="G165" i="1" s="1"/>
  <c r="D71" i="20"/>
  <c r="F165" i="1" s="1"/>
  <c r="B71" i="20"/>
  <c r="A71" i="20"/>
  <c r="S70" i="20"/>
  <c r="R70" i="20"/>
  <c r="Q70" i="20"/>
  <c r="P70" i="20"/>
  <c r="R164" i="1" s="1"/>
  <c r="O70" i="20"/>
  <c r="N70" i="20"/>
  <c r="M70" i="20"/>
  <c r="L70" i="20"/>
  <c r="K70" i="20"/>
  <c r="M164" i="1" s="1"/>
  <c r="J70" i="20"/>
  <c r="L164" i="1" s="1"/>
  <c r="I70" i="20"/>
  <c r="H70" i="20"/>
  <c r="J164" i="1" s="1"/>
  <c r="G70" i="20"/>
  <c r="I164" i="1" s="1"/>
  <c r="F70" i="20"/>
  <c r="H164" i="1" s="1"/>
  <c r="E70" i="20"/>
  <c r="D70" i="20"/>
  <c r="B70" i="20"/>
  <c r="A70" i="20"/>
  <c r="S69" i="20"/>
  <c r="R69" i="20"/>
  <c r="T163" i="1" s="1"/>
  <c r="Q69" i="20"/>
  <c r="P69" i="20"/>
  <c r="O69" i="20"/>
  <c r="N69" i="20"/>
  <c r="M69" i="20"/>
  <c r="O163" i="1" s="1"/>
  <c r="L69" i="20"/>
  <c r="N163" i="1" s="1"/>
  <c r="K69" i="20"/>
  <c r="M163" i="1" s="1"/>
  <c r="J69" i="20"/>
  <c r="L163" i="1" s="1"/>
  <c r="I69" i="20"/>
  <c r="K163" i="1" s="1"/>
  <c r="H69" i="20"/>
  <c r="J163" i="1" s="1"/>
  <c r="G69" i="20"/>
  <c r="F69" i="20"/>
  <c r="E69" i="20"/>
  <c r="D69" i="20"/>
  <c r="B69" i="20"/>
  <c r="A69" i="20"/>
  <c r="S68" i="20"/>
  <c r="R68" i="20"/>
  <c r="Q68" i="20"/>
  <c r="P68" i="20"/>
  <c r="O68" i="20"/>
  <c r="Q162" i="1" s="1"/>
  <c r="N68" i="20"/>
  <c r="P162" i="1" s="1"/>
  <c r="M68" i="20"/>
  <c r="L68" i="20"/>
  <c r="N162" i="1" s="1"/>
  <c r="K68" i="20"/>
  <c r="M162" i="1" s="1"/>
  <c r="J68" i="20"/>
  <c r="L162" i="1" s="1"/>
  <c r="I68" i="20"/>
  <c r="H68" i="20"/>
  <c r="G68" i="20"/>
  <c r="F68" i="20"/>
  <c r="E68" i="20"/>
  <c r="D68" i="20"/>
  <c r="F162" i="1" s="1"/>
  <c r="B68" i="20"/>
  <c r="A68" i="20"/>
  <c r="S67" i="20"/>
  <c r="R67" i="20"/>
  <c r="Q67" i="20"/>
  <c r="S161" i="1" s="1"/>
  <c r="P67" i="20"/>
  <c r="R161" i="1" s="1"/>
  <c r="O67" i="20"/>
  <c r="Q161" i="1" s="1"/>
  <c r="N67" i="20"/>
  <c r="P161" i="1" s="1"/>
  <c r="M67" i="20"/>
  <c r="O161" i="1" s="1"/>
  <c r="L67" i="20"/>
  <c r="N161" i="1" s="1"/>
  <c r="K67" i="20"/>
  <c r="J67" i="20"/>
  <c r="I67" i="20"/>
  <c r="H67" i="20"/>
  <c r="G67" i="20"/>
  <c r="F67" i="20"/>
  <c r="H161" i="1" s="1"/>
  <c r="E67" i="20"/>
  <c r="D67" i="20"/>
  <c r="B67" i="20"/>
  <c r="A67" i="20"/>
  <c r="S66" i="20"/>
  <c r="U160" i="1" s="1"/>
  <c r="R66" i="20"/>
  <c r="T160" i="1" s="1"/>
  <c r="Q66" i="20"/>
  <c r="S160" i="1" s="1"/>
  <c r="P66" i="20"/>
  <c r="R160" i="1" s="1"/>
  <c r="O66" i="20"/>
  <c r="Q160" i="1" s="1"/>
  <c r="N66" i="20"/>
  <c r="P160" i="1" s="1"/>
  <c r="M66" i="20"/>
  <c r="L66" i="20"/>
  <c r="K66" i="20"/>
  <c r="J66" i="20"/>
  <c r="I66" i="20"/>
  <c r="H66" i="20"/>
  <c r="J160" i="1" s="1"/>
  <c r="G66" i="20"/>
  <c r="F66" i="20"/>
  <c r="E66" i="20"/>
  <c r="D66" i="20"/>
  <c r="B66" i="20"/>
  <c r="D160" i="1" s="1"/>
  <c r="A66" i="20"/>
  <c r="S65" i="20"/>
  <c r="U159" i="1" s="1"/>
  <c r="R65" i="20"/>
  <c r="T159" i="1" s="1"/>
  <c r="Q65" i="20"/>
  <c r="S159" i="1" s="1"/>
  <c r="P65" i="20"/>
  <c r="R159" i="1" s="1"/>
  <c r="O65" i="20"/>
  <c r="N65" i="20"/>
  <c r="M65" i="20"/>
  <c r="L65" i="20"/>
  <c r="K65" i="20"/>
  <c r="J65" i="20"/>
  <c r="L159" i="1" s="1"/>
  <c r="I65" i="20"/>
  <c r="H65" i="20"/>
  <c r="G65" i="20"/>
  <c r="F65" i="20"/>
  <c r="E65" i="20"/>
  <c r="G159" i="1" s="1"/>
  <c r="D65" i="20"/>
  <c r="F159" i="1" s="1"/>
  <c r="B65" i="20"/>
  <c r="D159" i="1" s="1"/>
  <c r="A65" i="20"/>
  <c r="S64" i="20"/>
  <c r="U158" i="1" s="1"/>
  <c r="R64" i="20"/>
  <c r="T158" i="1" s="1"/>
  <c r="Q64" i="20"/>
  <c r="P64" i="20"/>
  <c r="O64" i="20"/>
  <c r="N64" i="20"/>
  <c r="M64" i="20"/>
  <c r="L64" i="20"/>
  <c r="N158" i="1" s="1"/>
  <c r="K64" i="20"/>
  <c r="J64" i="20"/>
  <c r="I64" i="20"/>
  <c r="H64" i="20"/>
  <c r="G64" i="20"/>
  <c r="I158" i="1" s="1"/>
  <c r="F64" i="20"/>
  <c r="H158" i="1" s="1"/>
  <c r="E64" i="20"/>
  <c r="G158" i="1" s="1"/>
  <c r="D64" i="20"/>
  <c r="F158" i="1" s="1"/>
  <c r="B64" i="20"/>
  <c r="D158" i="1" s="1"/>
  <c r="A64" i="20"/>
  <c r="S63" i="20"/>
  <c r="R63" i="20"/>
  <c r="Q63" i="20"/>
  <c r="P63" i="20"/>
  <c r="O63" i="20"/>
  <c r="N63" i="20"/>
  <c r="P157" i="1" s="1"/>
  <c r="M63" i="20"/>
  <c r="L63" i="20"/>
  <c r="K63" i="20"/>
  <c r="J63" i="20"/>
  <c r="I63" i="20"/>
  <c r="K157" i="1" s="1"/>
  <c r="H63" i="20"/>
  <c r="J157" i="1" s="1"/>
  <c r="G63" i="20"/>
  <c r="I157" i="1" s="1"/>
  <c r="F63" i="20"/>
  <c r="H157" i="1" s="1"/>
  <c r="E63" i="20"/>
  <c r="G157" i="1" s="1"/>
  <c r="D63" i="20"/>
  <c r="F157" i="1" s="1"/>
  <c r="B63" i="20"/>
  <c r="A63" i="20"/>
  <c r="S62" i="20"/>
  <c r="R62" i="20"/>
  <c r="Q62" i="20"/>
  <c r="P62" i="20"/>
  <c r="R156" i="1" s="1"/>
  <c r="O62" i="20"/>
  <c r="N62" i="20"/>
  <c r="M62" i="20"/>
  <c r="L62" i="20"/>
  <c r="K62" i="20"/>
  <c r="M156" i="1" s="1"/>
  <c r="J62" i="20"/>
  <c r="L156" i="1" s="1"/>
  <c r="I62" i="20"/>
  <c r="K156" i="1" s="1"/>
  <c r="H62" i="20"/>
  <c r="J156" i="1" s="1"/>
  <c r="G62" i="20"/>
  <c r="I156" i="1" s="1"/>
  <c r="F62" i="20"/>
  <c r="H156" i="1" s="1"/>
  <c r="E62" i="20"/>
  <c r="D62" i="20"/>
  <c r="B62" i="20"/>
  <c r="A62" i="20"/>
  <c r="S61" i="20"/>
  <c r="R61" i="20"/>
  <c r="T155" i="1" s="1"/>
  <c r="Q61" i="20"/>
  <c r="P61" i="20"/>
  <c r="O61" i="20"/>
  <c r="N61" i="20"/>
  <c r="M61" i="20"/>
  <c r="O155" i="1" s="1"/>
  <c r="L61" i="20"/>
  <c r="N155" i="1" s="1"/>
  <c r="K61" i="20"/>
  <c r="M155" i="1" s="1"/>
  <c r="J61" i="20"/>
  <c r="L155" i="1" s="1"/>
  <c r="I61" i="20"/>
  <c r="K155" i="1" s="1"/>
  <c r="H61" i="20"/>
  <c r="J155" i="1" s="1"/>
  <c r="G61" i="20"/>
  <c r="F61" i="20"/>
  <c r="E61" i="20"/>
  <c r="D61" i="20"/>
  <c r="B61" i="20"/>
  <c r="A61" i="20"/>
  <c r="S60" i="20"/>
  <c r="R60" i="20"/>
  <c r="Q60" i="20"/>
  <c r="P60" i="20"/>
  <c r="O60" i="20"/>
  <c r="Q154" i="1" s="1"/>
  <c r="N60" i="20"/>
  <c r="P154" i="1" s="1"/>
  <c r="M60" i="20"/>
  <c r="O154" i="1" s="1"/>
  <c r="L60" i="20"/>
  <c r="N154" i="1" s="1"/>
  <c r="K60" i="20"/>
  <c r="M154" i="1" s="1"/>
  <c r="J60" i="20"/>
  <c r="L154" i="1" s="1"/>
  <c r="I60" i="20"/>
  <c r="H60" i="20"/>
  <c r="G60" i="20"/>
  <c r="F60" i="20"/>
  <c r="E60" i="20"/>
  <c r="D60" i="20"/>
  <c r="F154" i="1" s="1"/>
  <c r="B60" i="20"/>
  <c r="A60" i="20"/>
  <c r="S59" i="20"/>
  <c r="R59" i="20"/>
  <c r="Q59" i="20"/>
  <c r="S153" i="1" s="1"/>
  <c r="P59" i="20"/>
  <c r="R153" i="1" s="1"/>
  <c r="O59" i="20"/>
  <c r="Q153" i="1" s="1"/>
  <c r="N59" i="20"/>
  <c r="P153" i="1" s="1"/>
  <c r="M59" i="20"/>
  <c r="O153" i="1" s="1"/>
  <c r="L59" i="20"/>
  <c r="N153" i="1" s="1"/>
  <c r="K59" i="20"/>
  <c r="J59" i="20"/>
  <c r="I59" i="20"/>
  <c r="H59" i="20"/>
  <c r="G59" i="20"/>
  <c r="F59" i="20"/>
  <c r="H153" i="1" s="1"/>
  <c r="E59" i="20"/>
  <c r="D59" i="20"/>
  <c r="B59" i="20"/>
  <c r="A59" i="20"/>
  <c r="S58" i="20"/>
  <c r="U152" i="1" s="1"/>
  <c r="R58" i="20"/>
  <c r="T152" i="1" s="1"/>
  <c r="Q58" i="20"/>
  <c r="S152" i="1" s="1"/>
  <c r="P58" i="20"/>
  <c r="R152" i="1" s="1"/>
  <c r="O58" i="20"/>
  <c r="Q152" i="1" s="1"/>
  <c r="N58" i="20"/>
  <c r="P152" i="1" s="1"/>
  <c r="M58" i="20"/>
  <c r="L58" i="20"/>
  <c r="K58" i="20"/>
  <c r="J58" i="20"/>
  <c r="I58" i="20"/>
  <c r="H58" i="20"/>
  <c r="J152" i="1" s="1"/>
  <c r="G58" i="20"/>
  <c r="F58" i="20"/>
  <c r="E58" i="20"/>
  <c r="D58" i="20"/>
  <c r="B58" i="20"/>
  <c r="D152" i="1" s="1"/>
  <c r="A58" i="20"/>
  <c r="S57" i="20"/>
  <c r="U151" i="1" s="1"/>
  <c r="R57" i="20"/>
  <c r="T151" i="1" s="1"/>
  <c r="Q57" i="20"/>
  <c r="S151" i="1" s="1"/>
  <c r="P57" i="20"/>
  <c r="R151" i="1" s="1"/>
  <c r="O57" i="20"/>
  <c r="N57" i="20"/>
  <c r="M57" i="20"/>
  <c r="L57" i="20"/>
  <c r="K57" i="20"/>
  <c r="J57" i="20"/>
  <c r="L151" i="1" s="1"/>
  <c r="I57" i="20"/>
  <c r="H57" i="20"/>
  <c r="G57" i="20"/>
  <c r="F57" i="20"/>
  <c r="E57" i="20"/>
  <c r="G151" i="1" s="1"/>
  <c r="D57" i="20"/>
  <c r="F151" i="1" s="1"/>
  <c r="B57" i="20"/>
  <c r="D151" i="1" s="1"/>
  <c r="A57" i="20"/>
  <c r="S56" i="20"/>
  <c r="U150" i="1" s="1"/>
  <c r="R56" i="20"/>
  <c r="T150" i="1" s="1"/>
  <c r="Q56" i="20"/>
  <c r="P56" i="20"/>
  <c r="O56" i="20"/>
  <c r="N56" i="20"/>
  <c r="M56" i="20"/>
  <c r="L56" i="20"/>
  <c r="N150" i="1" s="1"/>
  <c r="K56" i="20"/>
  <c r="J56" i="20"/>
  <c r="I56" i="20"/>
  <c r="H56" i="20"/>
  <c r="G56" i="20"/>
  <c r="I150" i="1" s="1"/>
  <c r="F56" i="20"/>
  <c r="H150" i="1" s="1"/>
  <c r="E56" i="20"/>
  <c r="G150" i="1" s="1"/>
  <c r="D56" i="20"/>
  <c r="F150" i="1" s="1"/>
  <c r="B56" i="20"/>
  <c r="D150" i="1" s="1"/>
  <c r="A56" i="20"/>
  <c r="S55" i="20"/>
  <c r="R55" i="20"/>
  <c r="Q55" i="20"/>
  <c r="P55" i="20"/>
  <c r="O55" i="20"/>
  <c r="N55" i="20"/>
  <c r="P149" i="1" s="1"/>
  <c r="M55" i="20"/>
  <c r="L55" i="20"/>
  <c r="K55" i="20"/>
  <c r="J55" i="20"/>
  <c r="I55" i="20"/>
  <c r="K149" i="1" s="1"/>
  <c r="H55" i="20"/>
  <c r="J149" i="1" s="1"/>
  <c r="G55" i="20"/>
  <c r="I149" i="1" s="1"/>
  <c r="F55" i="20"/>
  <c r="H149" i="1" s="1"/>
  <c r="E55" i="20"/>
  <c r="G149" i="1" s="1"/>
  <c r="D55" i="20"/>
  <c r="F149" i="1" s="1"/>
  <c r="B55" i="20"/>
  <c r="A55" i="20"/>
  <c r="S54" i="20"/>
  <c r="R54" i="20"/>
  <c r="Q54" i="20"/>
  <c r="P54" i="20"/>
  <c r="R148" i="1" s="1"/>
  <c r="O54" i="20"/>
  <c r="N54" i="20"/>
  <c r="M54" i="20"/>
  <c r="L54" i="20"/>
  <c r="K54" i="20"/>
  <c r="M148" i="1" s="1"/>
  <c r="J54" i="20"/>
  <c r="L148" i="1" s="1"/>
  <c r="I54" i="20"/>
  <c r="K148" i="1" s="1"/>
  <c r="H54" i="20"/>
  <c r="J148" i="1" s="1"/>
  <c r="G54" i="20"/>
  <c r="I148" i="1" s="1"/>
  <c r="F54" i="20"/>
  <c r="H148" i="1" s="1"/>
  <c r="E54" i="20"/>
  <c r="D54" i="20"/>
  <c r="B54" i="20"/>
  <c r="A54" i="20"/>
  <c r="S53" i="20"/>
  <c r="R53" i="20"/>
  <c r="T147" i="1" s="1"/>
  <c r="Q53" i="20"/>
  <c r="P53" i="20"/>
  <c r="O53" i="20"/>
  <c r="N53" i="20"/>
  <c r="M53" i="20"/>
  <c r="O147" i="1" s="1"/>
  <c r="L53" i="20"/>
  <c r="N147" i="1" s="1"/>
  <c r="K53" i="20"/>
  <c r="M147" i="1" s="1"/>
  <c r="J53" i="20"/>
  <c r="L147" i="1" s="1"/>
  <c r="I53" i="20"/>
  <c r="K147" i="1" s="1"/>
  <c r="H53" i="20"/>
  <c r="J147" i="1" s="1"/>
  <c r="G53" i="20"/>
  <c r="F53" i="20"/>
  <c r="E53" i="20"/>
  <c r="D53" i="20"/>
  <c r="B53" i="20"/>
  <c r="A53" i="20"/>
  <c r="S52" i="20"/>
  <c r="R52" i="20"/>
  <c r="Q52" i="20"/>
  <c r="P52" i="20"/>
  <c r="O52" i="20"/>
  <c r="Q146" i="1" s="1"/>
  <c r="N52" i="20"/>
  <c r="P146" i="1" s="1"/>
  <c r="M52" i="20"/>
  <c r="O146" i="1" s="1"/>
  <c r="L52" i="20"/>
  <c r="N146" i="1" s="1"/>
  <c r="K52" i="20"/>
  <c r="M146" i="1" s="1"/>
  <c r="J52" i="20"/>
  <c r="L146" i="1" s="1"/>
  <c r="I52" i="20"/>
  <c r="H52" i="20"/>
  <c r="G52" i="20"/>
  <c r="F52" i="20"/>
  <c r="E52" i="20"/>
  <c r="D52" i="20"/>
  <c r="F146" i="1" s="1"/>
  <c r="B52" i="20"/>
  <c r="A52" i="20"/>
  <c r="S51" i="20"/>
  <c r="R51" i="20"/>
  <c r="Q51" i="20"/>
  <c r="S145" i="1" s="1"/>
  <c r="P51" i="20"/>
  <c r="R145" i="1" s="1"/>
  <c r="O51" i="20"/>
  <c r="Q145" i="1" s="1"/>
  <c r="N51" i="20"/>
  <c r="P145" i="1" s="1"/>
  <c r="M51" i="20"/>
  <c r="O145" i="1" s="1"/>
  <c r="L51" i="20"/>
  <c r="N145" i="1" s="1"/>
  <c r="K51" i="20"/>
  <c r="J51" i="20"/>
  <c r="I51" i="20"/>
  <c r="H51" i="20"/>
  <c r="G51" i="20"/>
  <c r="F51" i="20"/>
  <c r="H145" i="1" s="1"/>
  <c r="E51" i="20"/>
  <c r="D51" i="20"/>
  <c r="B51" i="20"/>
  <c r="A51" i="20"/>
  <c r="S50" i="20"/>
  <c r="U144" i="1" s="1"/>
  <c r="R50" i="20"/>
  <c r="T144" i="1" s="1"/>
  <c r="Q50" i="20"/>
  <c r="S144" i="1" s="1"/>
  <c r="P50" i="20"/>
  <c r="R144" i="1" s="1"/>
  <c r="O50" i="20"/>
  <c r="Q144" i="1" s="1"/>
  <c r="N50" i="20"/>
  <c r="P144" i="1" s="1"/>
  <c r="M50" i="20"/>
  <c r="L50" i="20"/>
  <c r="K50" i="20"/>
  <c r="J50" i="20"/>
  <c r="I50" i="20"/>
  <c r="H50" i="20"/>
  <c r="J144" i="1" s="1"/>
  <c r="G50" i="20"/>
  <c r="F50" i="20"/>
  <c r="E50" i="20"/>
  <c r="D50" i="20"/>
  <c r="B50" i="20"/>
  <c r="D144" i="1" s="1"/>
  <c r="A50" i="20"/>
  <c r="S49" i="20"/>
  <c r="U143" i="1" s="1"/>
  <c r="R49" i="20"/>
  <c r="T143" i="1" s="1"/>
  <c r="Q49" i="20"/>
  <c r="S143" i="1" s="1"/>
  <c r="P49" i="20"/>
  <c r="R143" i="1" s="1"/>
  <c r="O49" i="20"/>
  <c r="N49" i="20"/>
  <c r="M49" i="20"/>
  <c r="L49" i="20"/>
  <c r="K49" i="20"/>
  <c r="J49" i="20"/>
  <c r="L143" i="1" s="1"/>
  <c r="I49" i="20"/>
  <c r="H49" i="20"/>
  <c r="G49" i="20"/>
  <c r="F49" i="20"/>
  <c r="E49" i="20"/>
  <c r="G143" i="1" s="1"/>
  <c r="D49" i="20"/>
  <c r="F143" i="1" s="1"/>
  <c r="B49" i="20"/>
  <c r="D143" i="1" s="1"/>
  <c r="A49" i="20"/>
  <c r="S48" i="20"/>
  <c r="U142" i="1" s="1"/>
  <c r="R48" i="20"/>
  <c r="T142" i="1" s="1"/>
  <c r="Q48" i="20"/>
  <c r="P48" i="20"/>
  <c r="O48" i="20"/>
  <c r="N48" i="20"/>
  <c r="M48" i="20"/>
  <c r="L48" i="20"/>
  <c r="N142" i="1" s="1"/>
  <c r="K48" i="20"/>
  <c r="J48" i="20"/>
  <c r="I48" i="20"/>
  <c r="H48" i="20"/>
  <c r="G48" i="20"/>
  <c r="I142" i="1" s="1"/>
  <c r="F48" i="20"/>
  <c r="H142" i="1" s="1"/>
  <c r="E48" i="20"/>
  <c r="G142" i="1" s="1"/>
  <c r="D48" i="20"/>
  <c r="F142" i="1" s="1"/>
  <c r="B48" i="20"/>
  <c r="D142" i="1" s="1"/>
  <c r="A48" i="20"/>
  <c r="S47" i="20"/>
  <c r="R47" i="20"/>
  <c r="Q47" i="20"/>
  <c r="P47" i="20"/>
  <c r="O47" i="20"/>
  <c r="N47" i="20"/>
  <c r="P141" i="1" s="1"/>
  <c r="M47" i="20"/>
  <c r="L47" i="20"/>
  <c r="K47" i="20"/>
  <c r="J47" i="20"/>
  <c r="I47" i="20"/>
  <c r="K141" i="1" s="1"/>
  <c r="H47" i="20"/>
  <c r="J141" i="1" s="1"/>
  <c r="G47" i="20"/>
  <c r="I141" i="1" s="1"/>
  <c r="F47" i="20"/>
  <c r="H141" i="1" s="1"/>
  <c r="E47" i="20"/>
  <c r="G141" i="1" s="1"/>
  <c r="D47" i="20"/>
  <c r="F141" i="1" s="1"/>
  <c r="B47" i="20"/>
  <c r="A47" i="20"/>
  <c r="S46" i="20"/>
  <c r="R46" i="20"/>
  <c r="Q46" i="20"/>
  <c r="P46" i="20"/>
  <c r="R140" i="1" s="1"/>
  <c r="O46" i="20"/>
  <c r="N46" i="20"/>
  <c r="M46" i="20"/>
  <c r="L46" i="20"/>
  <c r="K46" i="20"/>
  <c r="M140" i="1" s="1"/>
  <c r="J46" i="20"/>
  <c r="L140" i="1" s="1"/>
  <c r="I46" i="20"/>
  <c r="K140" i="1" s="1"/>
  <c r="H46" i="20"/>
  <c r="J140" i="1" s="1"/>
  <c r="G46" i="20"/>
  <c r="I140" i="1" s="1"/>
  <c r="F46" i="20"/>
  <c r="H140" i="1" s="1"/>
  <c r="E46" i="20"/>
  <c r="D46" i="20"/>
  <c r="B46" i="20"/>
  <c r="A46" i="20"/>
  <c r="S45" i="20"/>
  <c r="R45" i="20"/>
  <c r="T139" i="1" s="1"/>
  <c r="Q45" i="20"/>
  <c r="P45" i="20"/>
  <c r="O45" i="20"/>
  <c r="N45" i="20"/>
  <c r="M45" i="20"/>
  <c r="O139" i="1" s="1"/>
  <c r="L45" i="20"/>
  <c r="N139" i="1" s="1"/>
  <c r="K45" i="20"/>
  <c r="M139" i="1" s="1"/>
  <c r="J45" i="20"/>
  <c r="L139" i="1" s="1"/>
  <c r="I45" i="20"/>
  <c r="K139" i="1" s="1"/>
  <c r="H45" i="20"/>
  <c r="J139" i="1" s="1"/>
  <c r="G45" i="20"/>
  <c r="F45" i="20"/>
  <c r="E45" i="20"/>
  <c r="D45" i="20"/>
  <c r="B45" i="20"/>
  <c r="A45" i="20"/>
  <c r="S44" i="20"/>
  <c r="R44" i="20"/>
  <c r="Q44" i="20"/>
  <c r="P44" i="20"/>
  <c r="O44" i="20"/>
  <c r="Q138" i="1" s="1"/>
  <c r="N44" i="20"/>
  <c r="P138" i="1" s="1"/>
  <c r="M44" i="20"/>
  <c r="O138" i="1" s="1"/>
  <c r="L44" i="20"/>
  <c r="N138" i="1" s="1"/>
  <c r="K44" i="20"/>
  <c r="M138" i="1" s="1"/>
  <c r="J44" i="20"/>
  <c r="L138" i="1" s="1"/>
  <c r="I44" i="20"/>
  <c r="H44" i="20"/>
  <c r="G44" i="20"/>
  <c r="F44" i="20"/>
  <c r="E44" i="20"/>
  <c r="D44" i="20"/>
  <c r="F138" i="1" s="1"/>
  <c r="B44" i="20"/>
  <c r="A44" i="20"/>
  <c r="S43" i="20"/>
  <c r="R43" i="20"/>
  <c r="Q43" i="20"/>
  <c r="S137" i="1" s="1"/>
  <c r="P43" i="20"/>
  <c r="R137" i="1" s="1"/>
  <c r="O43" i="20"/>
  <c r="Q137" i="1" s="1"/>
  <c r="N43" i="20"/>
  <c r="P137" i="1" s="1"/>
  <c r="M43" i="20"/>
  <c r="O137" i="1" s="1"/>
  <c r="L43" i="20"/>
  <c r="N137" i="1" s="1"/>
  <c r="K43" i="20"/>
  <c r="J43" i="20"/>
  <c r="I43" i="20"/>
  <c r="H43" i="20"/>
  <c r="G43" i="20"/>
  <c r="F43" i="20"/>
  <c r="H137" i="1" s="1"/>
  <c r="E43" i="20"/>
  <c r="D43" i="20"/>
  <c r="B43" i="20"/>
  <c r="A43" i="20"/>
  <c r="S42" i="20"/>
  <c r="U136" i="1" s="1"/>
  <c r="R42" i="20"/>
  <c r="T136" i="1" s="1"/>
  <c r="Q42" i="20"/>
  <c r="S136" i="1" s="1"/>
  <c r="P42" i="20"/>
  <c r="R136" i="1" s="1"/>
  <c r="O42" i="20"/>
  <c r="Q136" i="1" s="1"/>
  <c r="N42" i="20"/>
  <c r="P136" i="1" s="1"/>
  <c r="M42" i="20"/>
  <c r="L42" i="20"/>
  <c r="K42" i="20"/>
  <c r="J42" i="20"/>
  <c r="I42" i="20"/>
  <c r="H42" i="20"/>
  <c r="J136" i="1" s="1"/>
  <c r="G42" i="20"/>
  <c r="F42" i="20"/>
  <c r="E42" i="20"/>
  <c r="D42" i="20"/>
  <c r="B42" i="20"/>
  <c r="D136" i="1" s="1"/>
  <c r="A42" i="20"/>
  <c r="S41" i="20"/>
  <c r="U135" i="1" s="1"/>
  <c r="R41" i="20"/>
  <c r="T135" i="1" s="1"/>
  <c r="Q41" i="20"/>
  <c r="S135" i="1" s="1"/>
  <c r="P41" i="20"/>
  <c r="R135" i="1" s="1"/>
  <c r="O41" i="20"/>
  <c r="N41" i="20"/>
  <c r="M41" i="20"/>
  <c r="L41" i="20"/>
  <c r="K41" i="20"/>
  <c r="J41" i="20"/>
  <c r="L135" i="1" s="1"/>
  <c r="I41" i="20"/>
  <c r="H41" i="20"/>
  <c r="G41" i="20"/>
  <c r="F41" i="20"/>
  <c r="E41" i="20"/>
  <c r="G135" i="1" s="1"/>
  <c r="D41" i="20"/>
  <c r="F135" i="1" s="1"/>
  <c r="B41" i="20"/>
  <c r="D135" i="1" s="1"/>
  <c r="A41" i="20"/>
  <c r="S40" i="20"/>
  <c r="U134" i="1" s="1"/>
  <c r="R40" i="20"/>
  <c r="T134" i="1" s="1"/>
  <c r="Q40" i="20"/>
  <c r="P40" i="20"/>
  <c r="O40" i="20"/>
  <c r="N40" i="20"/>
  <c r="M40" i="20"/>
  <c r="L40" i="20"/>
  <c r="N134" i="1" s="1"/>
  <c r="K40" i="20"/>
  <c r="J40" i="20"/>
  <c r="I40" i="20"/>
  <c r="H40" i="20"/>
  <c r="G40" i="20"/>
  <c r="I134" i="1" s="1"/>
  <c r="F40" i="20"/>
  <c r="H134" i="1" s="1"/>
  <c r="E40" i="20"/>
  <c r="G134" i="1" s="1"/>
  <c r="D40" i="20"/>
  <c r="F134" i="1" s="1"/>
  <c r="B40" i="20"/>
  <c r="D134" i="1" s="1"/>
  <c r="A40" i="20"/>
  <c r="S39" i="20"/>
  <c r="R39" i="20"/>
  <c r="Q39" i="20"/>
  <c r="P39" i="20"/>
  <c r="O39" i="20"/>
  <c r="N39" i="20"/>
  <c r="P133" i="1" s="1"/>
  <c r="M39" i="20"/>
  <c r="L39" i="20"/>
  <c r="K39" i="20"/>
  <c r="J39" i="20"/>
  <c r="I39" i="20"/>
  <c r="K133" i="1" s="1"/>
  <c r="H39" i="20"/>
  <c r="J133" i="1" s="1"/>
  <c r="G39" i="20"/>
  <c r="I133" i="1" s="1"/>
  <c r="F39" i="20"/>
  <c r="H133" i="1" s="1"/>
  <c r="E39" i="20"/>
  <c r="G133" i="1" s="1"/>
  <c r="D39" i="20"/>
  <c r="F133" i="1" s="1"/>
  <c r="B39" i="20"/>
  <c r="A39" i="20"/>
  <c r="S38" i="20"/>
  <c r="R38" i="20"/>
  <c r="Q38" i="20"/>
  <c r="P38" i="20"/>
  <c r="R132" i="1" s="1"/>
  <c r="O38" i="20"/>
  <c r="N38" i="20"/>
  <c r="M38" i="20"/>
  <c r="L38" i="20"/>
  <c r="K38" i="20"/>
  <c r="M132" i="1" s="1"/>
  <c r="J38" i="20"/>
  <c r="L132" i="1" s="1"/>
  <c r="I38" i="20"/>
  <c r="K132" i="1" s="1"/>
  <c r="H38" i="20"/>
  <c r="J132" i="1" s="1"/>
  <c r="G38" i="20"/>
  <c r="I132" i="1" s="1"/>
  <c r="F38" i="20"/>
  <c r="H132" i="1" s="1"/>
  <c r="E38" i="20"/>
  <c r="D38" i="20"/>
  <c r="B38" i="20"/>
  <c r="A38" i="20"/>
  <c r="S37" i="20"/>
  <c r="R37" i="20"/>
  <c r="T131" i="1" s="1"/>
  <c r="Q37" i="20"/>
  <c r="P37" i="20"/>
  <c r="O37" i="20"/>
  <c r="N37" i="20"/>
  <c r="M37" i="20"/>
  <c r="O131" i="1" s="1"/>
  <c r="L37" i="20"/>
  <c r="N131" i="1" s="1"/>
  <c r="K37" i="20"/>
  <c r="M131" i="1" s="1"/>
  <c r="J37" i="20"/>
  <c r="L131" i="1" s="1"/>
  <c r="I37" i="20"/>
  <c r="K131" i="1" s="1"/>
  <c r="H37" i="20"/>
  <c r="J131" i="1" s="1"/>
  <c r="G37" i="20"/>
  <c r="F37" i="20"/>
  <c r="E37" i="20"/>
  <c r="D37" i="20"/>
  <c r="B37" i="20"/>
  <c r="A37" i="20"/>
  <c r="S36" i="20"/>
  <c r="R36" i="20"/>
  <c r="Q36" i="20"/>
  <c r="P36" i="20"/>
  <c r="O36" i="20"/>
  <c r="Q130" i="1" s="1"/>
  <c r="N36" i="20"/>
  <c r="P130" i="1" s="1"/>
  <c r="M36" i="20"/>
  <c r="O130" i="1" s="1"/>
  <c r="L36" i="20"/>
  <c r="N130" i="1" s="1"/>
  <c r="K36" i="20"/>
  <c r="M130" i="1" s="1"/>
  <c r="J36" i="20"/>
  <c r="L130" i="1" s="1"/>
  <c r="I36" i="20"/>
  <c r="H36" i="20"/>
  <c r="G36" i="20"/>
  <c r="F36" i="20"/>
  <c r="E36" i="20"/>
  <c r="D36" i="20"/>
  <c r="F130" i="1" s="1"/>
  <c r="B36" i="20"/>
  <c r="A36" i="20"/>
  <c r="S35" i="20"/>
  <c r="R35" i="20"/>
  <c r="Q35" i="20"/>
  <c r="S129" i="1" s="1"/>
  <c r="P35" i="20"/>
  <c r="R129" i="1" s="1"/>
  <c r="O35" i="20"/>
  <c r="Q129" i="1" s="1"/>
  <c r="N35" i="20"/>
  <c r="P129" i="1" s="1"/>
  <c r="M35" i="20"/>
  <c r="O129" i="1" s="1"/>
  <c r="L35" i="20"/>
  <c r="N129" i="1" s="1"/>
  <c r="K35" i="20"/>
  <c r="J35" i="20"/>
  <c r="I35" i="20"/>
  <c r="H35" i="20"/>
  <c r="G35" i="20"/>
  <c r="F35" i="20"/>
  <c r="H129" i="1" s="1"/>
  <c r="E35" i="20"/>
  <c r="D35" i="20"/>
  <c r="B35" i="20"/>
  <c r="A35" i="20"/>
  <c r="S34" i="20"/>
  <c r="U128" i="1" s="1"/>
  <c r="R34" i="20"/>
  <c r="T128" i="1" s="1"/>
  <c r="Q34" i="20"/>
  <c r="S128" i="1" s="1"/>
  <c r="P34" i="20"/>
  <c r="R128" i="1" s="1"/>
  <c r="O34" i="20"/>
  <c r="Q128" i="1" s="1"/>
  <c r="N34" i="20"/>
  <c r="P128" i="1" s="1"/>
  <c r="M34" i="20"/>
  <c r="L34" i="20"/>
  <c r="K34" i="20"/>
  <c r="J34" i="20"/>
  <c r="I34" i="20"/>
  <c r="H34" i="20"/>
  <c r="J128" i="1" s="1"/>
  <c r="G34" i="20"/>
  <c r="F34" i="20"/>
  <c r="E34" i="20"/>
  <c r="D34" i="20"/>
  <c r="B34" i="20"/>
  <c r="D128" i="1" s="1"/>
  <c r="A34" i="20"/>
  <c r="S33" i="20"/>
  <c r="U127" i="1" s="1"/>
  <c r="R33" i="20"/>
  <c r="T127" i="1" s="1"/>
  <c r="Q33" i="20"/>
  <c r="S127" i="1" s="1"/>
  <c r="P33" i="20"/>
  <c r="R127" i="1" s="1"/>
  <c r="O33" i="20"/>
  <c r="N33" i="20"/>
  <c r="M33" i="20"/>
  <c r="L33" i="20"/>
  <c r="K33" i="20"/>
  <c r="J33" i="20"/>
  <c r="L127" i="1" s="1"/>
  <c r="I33" i="20"/>
  <c r="H33" i="20"/>
  <c r="G33" i="20"/>
  <c r="F33" i="20"/>
  <c r="E33" i="20"/>
  <c r="G127" i="1" s="1"/>
  <c r="D33" i="20"/>
  <c r="F127" i="1" s="1"/>
  <c r="B33" i="20"/>
  <c r="D127" i="1" s="1"/>
  <c r="A33" i="20"/>
  <c r="S32" i="20"/>
  <c r="U126" i="1" s="1"/>
  <c r="R32" i="20"/>
  <c r="T126" i="1" s="1"/>
  <c r="Q32" i="20"/>
  <c r="P32" i="20"/>
  <c r="O32" i="20"/>
  <c r="N32" i="20"/>
  <c r="M32" i="20"/>
  <c r="L32" i="20"/>
  <c r="N126" i="1" s="1"/>
  <c r="K32" i="20"/>
  <c r="J32" i="20"/>
  <c r="I32" i="20"/>
  <c r="H32" i="20"/>
  <c r="G32" i="20"/>
  <c r="I126" i="1" s="1"/>
  <c r="F32" i="20"/>
  <c r="H126" i="1" s="1"/>
  <c r="E32" i="20"/>
  <c r="G126" i="1" s="1"/>
  <c r="D32" i="20"/>
  <c r="F126" i="1" s="1"/>
  <c r="B32" i="20"/>
  <c r="D126" i="1" s="1"/>
  <c r="A32" i="20"/>
  <c r="S31" i="20"/>
  <c r="R31" i="20"/>
  <c r="Q31" i="20"/>
  <c r="P31" i="20"/>
  <c r="O31" i="20"/>
  <c r="N31" i="20"/>
  <c r="P125" i="1" s="1"/>
  <c r="M31" i="20"/>
  <c r="L31" i="20"/>
  <c r="K31" i="20"/>
  <c r="J31" i="20"/>
  <c r="I31" i="20"/>
  <c r="K125" i="1" s="1"/>
  <c r="H31" i="20"/>
  <c r="J125" i="1" s="1"/>
  <c r="G31" i="20"/>
  <c r="I125" i="1" s="1"/>
  <c r="F31" i="20"/>
  <c r="H125" i="1" s="1"/>
  <c r="E31" i="20"/>
  <c r="G125" i="1" s="1"/>
  <c r="D31" i="20"/>
  <c r="F125" i="1" s="1"/>
  <c r="B31" i="20"/>
  <c r="A31" i="20"/>
  <c r="S30" i="20"/>
  <c r="R30" i="20"/>
  <c r="Q30" i="20"/>
  <c r="P30" i="20"/>
  <c r="R124" i="1" s="1"/>
  <c r="O30" i="20"/>
  <c r="N30" i="20"/>
  <c r="M30" i="20"/>
  <c r="L30" i="20"/>
  <c r="K30" i="20"/>
  <c r="M124" i="1" s="1"/>
  <c r="J30" i="20"/>
  <c r="L124" i="1" s="1"/>
  <c r="I30" i="20"/>
  <c r="K124" i="1" s="1"/>
  <c r="H30" i="20"/>
  <c r="J124" i="1" s="1"/>
  <c r="G30" i="20"/>
  <c r="I124" i="1" s="1"/>
  <c r="F30" i="20"/>
  <c r="H124" i="1" s="1"/>
  <c r="E30" i="20"/>
  <c r="D30" i="20"/>
  <c r="B30" i="20"/>
  <c r="A30" i="20"/>
  <c r="S29" i="20"/>
  <c r="R29" i="20"/>
  <c r="T123" i="1" s="1"/>
  <c r="Q29" i="20"/>
  <c r="P29" i="20"/>
  <c r="O29" i="20"/>
  <c r="N29" i="20"/>
  <c r="M29" i="20"/>
  <c r="O123" i="1" s="1"/>
  <c r="L29" i="20"/>
  <c r="N123" i="1" s="1"/>
  <c r="K29" i="20"/>
  <c r="M123" i="1" s="1"/>
  <c r="J29" i="20"/>
  <c r="L123" i="1" s="1"/>
  <c r="I29" i="20"/>
  <c r="K123" i="1" s="1"/>
  <c r="H29" i="20"/>
  <c r="J123" i="1" s="1"/>
  <c r="G29" i="20"/>
  <c r="F29" i="20"/>
  <c r="E29" i="20"/>
  <c r="D29" i="20"/>
  <c r="B29" i="20"/>
  <c r="A29" i="20"/>
  <c r="S28" i="20"/>
  <c r="R28" i="20"/>
  <c r="Q28" i="20"/>
  <c r="P28" i="20"/>
  <c r="O28" i="20"/>
  <c r="Q122" i="1" s="1"/>
  <c r="N28" i="20"/>
  <c r="P122" i="1" s="1"/>
  <c r="M28" i="20"/>
  <c r="O122" i="1" s="1"/>
  <c r="L28" i="20"/>
  <c r="N122" i="1" s="1"/>
  <c r="K28" i="20"/>
  <c r="M122" i="1" s="1"/>
  <c r="J28" i="20"/>
  <c r="L122" i="1" s="1"/>
  <c r="I28" i="20"/>
  <c r="H28" i="20"/>
  <c r="G28" i="20"/>
  <c r="F28" i="20"/>
  <c r="E28" i="20"/>
  <c r="D28" i="20"/>
  <c r="F122" i="1" s="1"/>
  <c r="B28" i="20"/>
  <c r="A28" i="20"/>
  <c r="S27" i="20"/>
  <c r="R27" i="20"/>
  <c r="Q27" i="20"/>
  <c r="S121" i="1" s="1"/>
  <c r="P27" i="20"/>
  <c r="R121" i="1" s="1"/>
  <c r="O27" i="20"/>
  <c r="Q121" i="1" s="1"/>
  <c r="N27" i="20"/>
  <c r="P121" i="1" s="1"/>
  <c r="M27" i="20"/>
  <c r="O121" i="1" s="1"/>
  <c r="L27" i="20"/>
  <c r="N121" i="1" s="1"/>
  <c r="K27" i="20"/>
  <c r="J27" i="20"/>
  <c r="I27" i="20"/>
  <c r="H27" i="20"/>
  <c r="G27" i="20"/>
  <c r="F27" i="20"/>
  <c r="H121" i="1" s="1"/>
  <c r="E27" i="20"/>
  <c r="D27" i="20"/>
  <c r="B27" i="20"/>
  <c r="A27" i="20"/>
  <c r="S26" i="20"/>
  <c r="U120" i="1" s="1"/>
  <c r="R26" i="20"/>
  <c r="T120" i="1" s="1"/>
  <c r="Q26" i="20"/>
  <c r="S120" i="1" s="1"/>
  <c r="P26" i="20"/>
  <c r="R120" i="1" s="1"/>
  <c r="O26" i="20"/>
  <c r="Q120" i="1" s="1"/>
  <c r="N26" i="20"/>
  <c r="P120" i="1" s="1"/>
  <c r="M26" i="20"/>
  <c r="L26" i="20"/>
  <c r="K26" i="20"/>
  <c r="J26" i="20"/>
  <c r="I26" i="20"/>
  <c r="H26" i="20"/>
  <c r="J120" i="1" s="1"/>
  <c r="G26" i="20"/>
  <c r="F26" i="20"/>
  <c r="E26" i="20"/>
  <c r="D26" i="20"/>
  <c r="B26" i="20"/>
  <c r="D120" i="1" s="1"/>
  <c r="A26" i="20"/>
  <c r="S25" i="20"/>
  <c r="U119" i="1" s="1"/>
  <c r="R25" i="20"/>
  <c r="T119" i="1" s="1"/>
  <c r="Q25" i="20"/>
  <c r="S119" i="1" s="1"/>
  <c r="P25" i="20"/>
  <c r="R119" i="1" s="1"/>
  <c r="O25" i="20"/>
  <c r="N25" i="20"/>
  <c r="M25" i="20"/>
  <c r="L25" i="20"/>
  <c r="K25" i="20"/>
  <c r="M119" i="1" s="1"/>
  <c r="J25" i="20"/>
  <c r="L119" i="1" s="1"/>
  <c r="I25" i="20"/>
  <c r="H25" i="20"/>
  <c r="G25" i="20"/>
  <c r="F25" i="20"/>
  <c r="E25" i="20"/>
  <c r="G119" i="1" s="1"/>
  <c r="D25" i="20"/>
  <c r="F119" i="1" s="1"/>
  <c r="B25" i="20"/>
  <c r="D119" i="1" s="1"/>
  <c r="A25" i="20"/>
  <c r="S24" i="20"/>
  <c r="U118" i="1" s="1"/>
  <c r="R24" i="20"/>
  <c r="T118" i="1" s="1"/>
  <c r="Q24" i="20"/>
  <c r="P24" i="20"/>
  <c r="O24" i="20"/>
  <c r="N24" i="20"/>
  <c r="M24" i="20"/>
  <c r="L24" i="20"/>
  <c r="N118" i="1" s="1"/>
  <c r="K24" i="20"/>
  <c r="J24" i="20"/>
  <c r="I24" i="20"/>
  <c r="H24" i="20"/>
  <c r="G24" i="20"/>
  <c r="I118" i="1" s="1"/>
  <c r="F24" i="20"/>
  <c r="H118" i="1" s="1"/>
  <c r="E24" i="20"/>
  <c r="G118" i="1" s="1"/>
  <c r="D24" i="20"/>
  <c r="F118" i="1" s="1"/>
  <c r="B24" i="20"/>
  <c r="D118" i="1" s="1"/>
  <c r="A24" i="20"/>
  <c r="S23" i="20"/>
  <c r="R23" i="20"/>
  <c r="Q23" i="20"/>
  <c r="P23" i="20"/>
  <c r="O23" i="20"/>
  <c r="N23" i="20"/>
  <c r="P117" i="1" s="1"/>
  <c r="M23" i="20"/>
  <c r="L23" i="20"/>
  <c r="K23" i="20"/>
  <c r="J23" i="20"/>
  <c r="I23" i="20"/>
  <c r="K117" i="1" s="1"/>
  <c r="H23" i="20"/>
  <c r="J117" i="1" s="1"/>
  <c r="G23" i="20"/>
  <c r="I117" i="1" s="1"/>
  <c r="F23" i="20"/>
  <c r="H117" i="1" s="1"/>
  <c r="E23" i="20"/>
  <c r="G117" i="1" s="1"/>
  <c r="D23" i="20"/>
  <c r="F117" i="1" s="1"/>
  <c r="B23" i="20"/>
  <c r="A23" i="20"/>
  <c r="S22" i="20"/>
  <c r="R22" i="20"/>
  <c r="Q22" i="20"/>
  <c r="P22" i="20"/>
  <c r="R116" i="1" s="1"/>
  <c r="O22" i="20"/>
  <c r="N22" i="20"/>
  <c r="M22" i="20"/>
  <c r="L22" i="20"/>
  <c r="K22" i="20"/>
  <c r="M116" i="1" s="1"/>
  <c r="J22" i="20"/>
  <c r="L116" i="1" s="1"/>
  <c r="I22" i="20"/>
  <c r="K116" i="1" s="1"/>
  <c r="H22" i="20"/>
  <c r="J116" i="1" s="1"/>
  <c r="G22" i="20"/>
  <c r="I116" i="1" s="1"/>
  <c r="F22" i="20"/>
  <c r="H116" i="1" s="1"/>
  <c r="E22" i="20"/>
  <c r="D22" i="20"/>
  <c r="B22" i="20"/>
  <c r="A22" i="20"/>
  <c r="S21" i="20"/>
  <c r="R21" i="20"/>
  <c r="T115" i="1" s="1"/>
  <c r="Q21" i="20"/>
  <c r="P21" i="20"/>
  <c r="O21" i="20"/>
  <c r="N21" i="20"/>
  <c r="M21" i="20"/>
  <c r="O115" i="1" s="1"/>
  <c r="L21" i="20"/>
  <c r="N115" i="1" s="1"/>
  <c r="K21" i="20"/>
  <c r="M115" i="1" s="1"/>
  <c r="J21" i="20"/>
  <c r="L115" i="1" s="1"/>
  <c r="I21" i="20"/>
  <c r="K115" i="1" s="1"/>
  <c r="H21" i="20"/>
  <c r="J115" i="1" s="1"/>
  <c r="G21" i="20"/>
  <c r="F21" i="20"/>
  <c r="E21" i="20"/>
  <c r="D21" i="20"/>
  <c r="B21" i="20"/>
  <c r="D115" i="1" s="1"/>
  <c r="A21" i="20"/>
  <c r="S20" i="20"/>
  <c r="R20" i="20"/>
  <c r="Q20" i="20"/>
  <c r="P20" i="20"/>
  <c r="O20" i="20"/>
  <c r="Q114" i="1" s="1"/>
  <c r="N20" i="20"/>
  <c r="P114" i="1" s="1"/>
  <c r="M20" i="20"/>
  <c r="O114" i="1" s="1"/>
  <c r="L20" i="20"/>
  <c r="N114" i="1" s="1"/>
  <c r="K20" i="20"/>
  <c r="M114" i="1" s="1"/>
  <c r="J20" i="20"/>
  <c r="L114" i="1" s="1"/>
  <c r="I20" i="20"/>
  <c r="H20" i="20"/>
  <c r="G20" i="20"/>
  <c r="F20" i="20"/>
  <c r="E20" i="20"/>
  <c r="D20" i="20"/>
  <c r="F114" i="1" s="1"/>
  <c r="B20" i="20"/>
  <c r="A20" i="20"/>
  <c r="S19" i="20"/>
  <c r="R19" i="20"/>
  <c r="Q19" i="20"/>
  <c r="S113" i="1" s="1"/>
  <c r="P19" i="20"/>
  <c r="R113" i="1" s="1"/>
  <c r="O19" i="20"/>
  <c r="Q113" i="1" s="1"/>
  <c r="N19" i="20"/>
  <c r="P113" i="1" s="1"/>
  <c r="M19" i="20"/>
  <c r="O113" i="1" s="1"/>
  <c r="L19" i="20"/>
  <c r="N113" i="1" s="1"/>
  <c r="K19" i="20"/>
  <c r="J19" i="20"/>
  <c r="I19" i="20"/>
  <c r="H19" i="20"/>
  <c r="G19" i="20"/>
  <c r="I113" i="1" s="1"/>
  <c r="F19" i="20"/>
  <c r="H113" i="1" s="1"/>
  <c r="E19" i="20"/>
  <c r="D19" i="20"/>
  <c r="B19" i="20"/>
  <c r="A19" i="20"/>
  <c r="S18" i="20"/>
  <c r="U112" i="1" s="1"/>
  <c r="R18" i="20"/>
  <c r="T112" i="1" s="1"/>
  <c r="Q18" i="20"/>
  <c r="S112" i="1" s="1"/>
  <c r="P18" i="20"/>
  <c r="R112" i="1" s="1"/>
  <c r="O18" i="20"/>
  <c r="Q112" i="1" s="1"/>
  <c r="N18" i="20"/>
  <c r="P112" i="1" s="1"/>
  <c r="M18" i="20"/>
  <c r="L18" i="20"/>
  <c r="K18" i="20"/>
  <c r="J18" i="20"/>
  <c r="I18" i="20"/>
  <c r="H18" i="20"/>
  <c r="J112" i="1" s="1"/>
  <c r="G18" i="20"/>
  <c r="F18" i="20"/>
  <c r="E18" i="20"/>
  <c r="D18" i="20"/>
  <c r="B18" i="20"/>
  <c r="D112" i="1" s="1"/>
  <c r="A18" i="20"/>
  <c r="S17" i="20"/>
  <c r="U111" i="1" s="1"/>
  <c r="R17" i="20"/>
  <c r="T111" i="1" s="1"/>
  <c r="Q17" i="20"/>
  <c r="S111" i="1" s="1"/>
  <c r="P17" i="20"/>
  <c r="R111" i="1" s="1"/>
  <c r="O17" i="20"/>
  <c r="N17" i="20"/>
  <c r="M17" i="20"/>
  <c r="L17" i="20"/>
  <c r="K17" i="20"/>
  <c r="J17" i="20"/>
  <c r="L111" i="1" s="1"/>
  <c r="I17" i="20"/>
  <c r="H17" i="20"/>
  <c r="G17" i="20"/>
  <c r="F17" i="20"/>
  <c r="E17" i="20"/>
  <c r="G111" i="1" s="1"/>
  <c r="D17" i="20"/>
  <c r="F111" i="1" s="1"/>
  <c r="B17" i="20"/>
  <c r="D111" i="1" s="1"/>
  <c r="A17" i="20"/>
  <c r="S16" i="20"/>
  <c r="U110" i="1" s="1"/>
  <c r="R16" i="20"/>
  <c r="T110" i="1" s="1"/>
  <c r="Q16" i="20"/>
  <c r="P16" i="20"/>
  <c r="O16" i="20"/>
  <c r="N16" i="20"/>
  <c r="M16" i="20"/>
  <c r="L16" i="20"/>
  <c r="N110" i="1" s="1"/>
  <c r="K16" i="20"/>
  <c r="J16" i="20"/>
  <c r="I16" i="20"/>
  <c r="H16" i="20"/>
  <c r="G16" i="20"/>
  <c r="I110" i="1" s="1"/>
  <c r="F16" i="20"/>
  <c r="H110" i="1" s="1"/>
  <c r="E16" i="20"/>
  <c r="G110" i="1" s="1"/>
  <c r="D16" i="20"/>
  <c r="F110" i="1" s="1"/>
  <c r="B16" i="20"/>
  <c r="D110" i="1" s="1"/>
  <c r="A16" i="20"/>
  <c r="S15" i="20"/>
  <c r="R15" i="20"/>
  <c r="Q15" i="20"/>
  <c r="P15" i="20"/>
  <c r="O15" i="20"/>
  <c r="N15" i="20"/>
  <c r="P109" i="1" s="1"/>
  <c r="M15" i="20"/>
  <c r="L15" i="20"/>
  <c r="K15" i="20"/>
  <c r="J15" i="20"/>
  <c r="I15" i="20"/>
  <c r="K109" i="1" s="1"/>
  <c r="H15" i="20"/>
  <c r="J109" i="1" s="1"/>
  <c r="G15" i="20"/>
  <c r="I109" i="1" s="1"/>
  <c r="F15" i="20"/>
  <c r="H109" i="1" s="1"/>
  <c r="E15" i="20"/>
  <c r="G109" i="1" s="1"/>
  <c r="D15" i="20"/>
  <c r="F109" i="1" s="1"/>
  <c r="B15" i="20"/>
  <c r="A15" i="20"/>
  <c r="S14" i="20"/>
  <c r="R14" i="20"/>
  <c r="Q14" i="20"/>
  <c r="S108" i="1" s="1"/>
  <c r="P14" i="20"/>
  <c r="R108" i="1" s="1"/>
  <c r="O14" i="20"/>
  <c r="N14" i="20"/>
  <c r="M14" i="20"/>
  <c r="L14" i="20"/>
  <c r="K14" i="20"/>
  <c r="M108" i="1" s="1"/>
  <c r="J14" i="20"/>
  <c r="L108" i="1" s="1"/>
  <c r="I14" i="20"/>
  <c r="K108" i="1" s="1"/>
  <c r="H14" i="20"/>
  <c r="J108" i="1" s="1"/>
  <c r="G14" i="20"/>
  <c r="I108" i="1" s="1"/>
  <c r="F14" i="20"/>
  <c r="H108" i="1" s="1"/>
  <c r="E14" i="20"/>
  <c r="D14" i="20"/>
  <c r="B14" i="20"/>
  <c r="A14" i="20"/>
  <c r="S13" i="20"/>
  <c r="R13" i="20"/>
  <c r="T107" i="1" s="1"/>
  <c r="Q13" i="20"/>
  <c r="P13" i="20"/>
  <c r="O13" i="20"/>
  <c r="N13" i="20"/>
  <c r="M13" i="20"/>
  <c r="O107" i="1" s="1"/>
  <c r="L13" i="20"/>
  <c r="N107" i="1" s="1"/>
  <c r="K13" i="20"/>
  <c r="M107" i="1" s="1"/>
  <c r="J13" i="20"/>
  <c r="L107" i="1" s="1"/>
  <c r="I13" i="20"/>
  <c r="K107" i="1" s="1"/>
  <c r="H13" i="20"/>
  <c r="J107" i="1" s="1"/>
  <c r="G13" i="20"/>
  <c r="F13" i="20"/>
  <c r="E13" i="20"/>
  <c r="D13" i="20"/>
  <c r="B13" i="20"/>
  <c r="A13" i="20"/>
  <c r="S12" i="20"/>
  <c r="R12" i="20"/>
  <c r="Q12" i="20"/>
  <c r="P12" i="20"/>
  <c r="O12" i="20"/>
  <c r="Q106" i="1" s="1"/>
  <c r="N12" i="20"/>
  <c r="P106" i="1" s="1"/>
  <c r="M12" i="20"/>
  <c r="O106" i="1" s="1"/>
  <c r="L12" i="20"/>
  <c r="N106" i="1" s="1"/>
  <c r="K12" i="20"/>
  <c r="M106" i="1" s="1"/>
  <c r="J12" i="20"/>
  <c r="L106" i="1" s="1"/>
  <c r="I12" i="20"/>
  <c r="H12" i="20"/>
  <c r="G12" i="20"/>
  <c r="F12" i="20"/>
  <c r="E12" i="20"/>
  <c r="D12" i="20"/>
  <c r="F106" i="1" s="1"/>
  <c r="B12" i="20"/>
  <c r="A12" i="20"/>
  <c r="S11" i="20"/>
  <c r="R11" i="20"/>
  <c r="Q11" i="20"/>
  <c r="S105" i="1" s="1"/>
  <c r="P11" i="20"/>
  <c r="R105" i="1" s="1"/>
  <c r="O11" i="20"/>
  <c r="Q105" i="1" s="1"/>
  <c r="N11" i="20"/>
  <c r="P105" i="1" s="1"/>
  <c r="M11" i="20"/>
  <c r="O105" i="1" s="1"/>
  <c r="L11" i="20"/>
  <c r="N105" i="1" s="1"/>
  <c r="K11" i="20"/>
  <c r="J11" i="20"/>
  <c r="I11" i="20"/>
  <c r="H11" i="20"/>
  <c r="G11" i="20"/>
  <c r="F11" i="20"/>
  <c r="H105" i="1" s="1"/>
  <c r="E11" i="20"/>
  <c r="D11" i="20"/>
  <c r="B11" i="20"/>
  <c r="A11" i="20"/>
  <c r="S10" i="20"/>
  <c r="U104" i="1" s="1"/>
  <c r="R10" i="20"/>
  <c r="T104" i="1" s="1"/>
  <c r="Q10" i="20"/>
  <c r="S104" i="1" s="1"/>
  <c r="P10" i="20"/>
  <c r="R104" i="1" s="1"/>
  <c r="O10" i="20"/>
  <c r="Q104" i="1" s="1"/>
  <c r="N10" i="20"/>
  <c r="P104" i="1" s="1"/>
  <c r="M10" i="20"/>
  <c r="L10" i="20"/>
  <c r="K10" i="20"/>
  <c r="J10" i="20"/>
  <c r="I10" i="20"/>
  <c r="K104" i="1" s="1"/>
  <c r="H10" i="20"/>
  <c r="J104" i="1" s="1"/>
  <c r="G10" i="20"/>
  <c r="F10" i="20"/>
  <c r="E10" i="20"/>
  <c r="D10" i="20"/>
  <c r="B10" i="20"/>
  <c r="D104" i="1" s="1"/>
  <c r="A10" i="20"/>
  <c r="S9" i="20"/>
  <c r="U103" i="1" s="1"/>
  <c r="R9" i="20"/>
  <c r="T103" i="1" s="1"/>
  <c r="Q9" i="20"/>
  <c r="S103" i="1" s="1"/>
  <c r="P9" i="20"/>
  <c r="R103" i="1" s="1"/>
  <c r="O9" i="20"/>
  <c r="N9" i="20"/>
  <c r="M9" i="20"/>
  <c r="L9" i="20"/>
  <c r="K9" i="20"/>
  <c r="J9" i="20"/>
  <c r="L103" i="1" s="1"/>
  <c r="I9" i="20"/>
  <c r="H9" i="20"/>
  <c r="G9" i="20"/>
  <c r="F9" i="20"/>
  <c r="E9" i="20"/>
  <c r="G103" i="1" s="1"/>
  <c r="D9" i="20"/>
  <c r="F103" i="1" s="1"/>
  <c r="B9" i="20"/>
  <c r="D103" i="1" s="1"/>
  <c r="A9" i="20"/>
  <c r="S8" i="20"/>
  <c r="U102" i="1" s="1"/>
  <c r="R8" i="20"/>
  <c r="T102" i="1" s="1"/>
  <c r="Q8" i="20"/>
  <c r="P8" i="20"/>
  <c r="O8" i="20"/>
  <c r="N8" i="20"/>
  <c r="M8" i="20"/>
  <c r="L8" i="20"/>
  <c r="N102" i="1" s="1"/>
  <c r="K8" i="20"/>
  <c r="J8" i="20"/>
  <c r="I8" i="20"/>
  <c r="H8" i="20"/>
  <c r="G8" i="20"/>
  <c r="I102" i="1" s="1"/>
  <c r="F8" i="20"/>
  <c r="H102" i="1" s="1"/>
  <c r="E8" i="20"/>
  <c r="G102" i="1" s="1"/>
  <c r="D8" i="20"/>
  <c r="F102" i="1" s="1"/>
  <c r="B8" i="20"/>
  <c r="D102" i="1" s="1"/>
  <c r="A8" i="20"/>
  <c r="S7" i="20"/>
  <c r="R7" i="20"/>
  <c r="Q7" i="20"/>
  <c r="P7" i="20"/>
  <c r="O7" i="20"/>
  <c r="N7" i="20"/>
  <c r="P101" i="1" s="1"/>
  <c r="M7" i="20"/>
  <c r="L7" i="20"/>
  <c r="K7" i="20"/>
  <c r="J7" i="20"/>
  <c r="I7" i="20"/>
  <c r="K101" i="1" s="1"/>
  <c r="H7" i="20"/>
  <c r="J101" i="1" s="1"/>
  <c r="G7" i="20"/>
  <c r="I101" i="1" s="1"/>
  <c r="F7" i="20"/>
  <c r="H101" i="1" s="1"/>
  <c r="E7" i="20"/>
  <c r="G101" i="1" s="1"/>
  <c r="D7" i="20"/>
  <c r="F101" i="1" s="1"/>
  <c r="B7" i="20"/>
  <c r="A7" i="20"/>
  <c r="S6" i="20"/>
  <c r="R6" i="20"/>
  <c r="Q6" i="20"/>
  <c r="P6" i="20"/>
  <c r="R100" i="1" s="1"/>
  <c r="O6" i="20"/>
  <c r="N6" i="20"/>
  <c r="M6" i="20"/>
  <c r="L6" i="20"/>
  <c r="K6" i="20"/>
  <c r="M100" i="1" s="1"/>
  <c r="J6" i="20"/>
  <c r="L100" i="1" s="1"/>
  <c r="I6" i="20"/>
  <c r="K100" i="1" s="1"/>
  <c r="H6" i="20"/>
  <c r="J100" i="1" s="1"/>
  <c r="G6" i="20"/>
  <c r="I100" i="1" s="1"/>
  <c r="F6" i="20"/>
  <c r="H100" i="1" s="1"/>
  <c r="E6" i="20"/>
  <c r="D6" i="20"/>
  <c r="B6" i="20"/>
  <c r="A6" i="20"/>
  <c r="S5" i="20"/>
  <c r="U99" i="1" s="1"/>
  <c r="R5" i="20"/>
  <c r="T99" i="1" s="1"/>
  <c r="Q5" i="20"/>
  <c r="P5" i="20"/>
  <c r="O5" i="20"/>
  <c r="N5" i="20"/>
  <c r="M5" i="20"/>
  <c r="O99" i="1" s="1"/>
  <c r="L5" i="20"/>
  <c r="N99" i="1" s="1"/>
  <c r="K5" i="20"/>
  <c r="M99" i="1" s="1"/>
  <c r="J5" i="20"/>
  <c r="L99" i="1" s="1"/>
  <c r="I5" i="20"/>
  <c r="K99" i="1" s="1"/>
  <c r="H5" i="20"/>
  <c r="J99" i="1" s="1"/>
  <c r="G5" i="20"/>
  <c r="F5" i="20"/>
  <c r="E5" i="20"/>
  <c r="D5" i="20"/>
  <c r="B5" i="20"/>
  <c r="A5" i="20"/>
  <c r="S4" i="20"/>
  <c r="R4" i="20"/>
  <c r="Q4" i="20"/>
  <c r="P4" i="20"/>
  <c r="O4" i="20"/>
  <c r="Q98" i="1" s="1"/>
  <c r="N4" i="20"/>
  <c r="P98" i="1" s="1"/>
  <c r="M4" i="20"/>
  <c r="O98" i="1" s="1"/>
  <c r="L4" i="20"/>
  <c r="N98" i="1" s="1"/>
  <c r="K4" i="20"/>
  <c r="M98" i="1" s="1"/>
  <c r="J4" i="20"/>
  <c r="L98" i="1" s="1"/>
  <c r="I4" i="20"/>
  <c r="H4" i="20"/>
  <c r="G4" i="20"/>
  <c r="F4" i="20"/>
  <c r="E4" i="20"/>
  <c r="D4" i="20"/>
  <c r="F98" i="1" s="1"/>
  <c r="B4" i="20"/>
  <c r="A4" i="20"/>
  <c r="S3" i="20"/>
  <c r="R3" i="20"/>
  <c r="Q3" i="20"/>
  <c r="S97" i="1" s="1"/>
  <c r="P3" i="20"/>
  <c r="R97" i="1" s="1"/>
  <c r="O3" i="20"/>
  <c r="Q97" i="1" s="1"/>
  <c r="N3" i="20"/>
  <c r="P97" i="1" s="1"/>
  <c r="M3" i="20"/>
  <c r="O97" i="1" s="1"/>
  <c r="L3" i="20"/>
  <c r="N97" i="1" s="1"/>
  <c r="K3" i="20"/>
  <c r="J3" i="20"/>
  <c r="I3" i="20"/>
  <c r="H3" i="20"/>
  <c r="G3" i="20"/>
  <c r="F3" i="20"/>
  <c r="H97" i="1" s="1"/>
  <c r="E3" i="20"/>
  <c r="D3" i="20"/>
  <c r="B3" i="20"/>
  <c r="A3" i="20"/>
  <c r="S2" i="20"/>
  <c r="U96" i="1" s="1"/>
  <c r="R2" i="20"/>
  <c r="T96" i="1" s="1"/>
  <c r="Q2" i="20"/>
  <c r="S96" i="1" s="1"/>
  <c r="P2" i="20"/>
  <c r="R96" i="1" s="1"/>
  <c r="O2" i="20"/>
  <c r="Q96" i="1" s="1"/>
  <c r="N2" i="20"/>
  <c r="P96" i="1" s="1"/>
  <c r="M2" i="20"/>
  <c r="L2" i="20"/>
  <c r="K2" i="20"/>
  <c r="J2" i="20"/>
  <c r="I2" i="20"/>
  <c r="H2" i="20"/>
  <c r="J96" i="1" s="1"/>
  <c r="G2" i="20"/>
  <c r="F2" i="20"/>
  <c r="E2" i="20"/>
  <c r="D2" i="20"/>
  <c r="B2" i="20"/>
  <c r="D96" i="1" s="1"/>
  <c r="A2" i="20"/>
  <c r="S1" i="20"/>
  <c r="R1" i="20"/>
  <c r="Q1" i="20"/>
  <c r="P1" i="20"/>
  <c r="O1" i="20"/>
  <c r="N1" i="20"/>
  <c r="M1" i="20"/>
  <c r="L1" i="20"/>
  <c r="K1" i="20"/>
  <c r="J1" i="20"/>
  <c r="I1" i="20"/>
  <c r="H1" i="20"/>
  <c r="G1" i="20"/>
  <c r="F1" i="20"/>
  <c r="E1" i="20"/>
  <c r="D1" i="20"/>
  <c r="C1" i="20"/>
  <c r="B1" i="20"/>
  <c r="A1" i="20"/>
  <c r="S19" i="19"/>
  <c r="U95" i="1" s="1"/>
  <c r="R19" i="19"/>
  <c r="Q19" i="19"/>
  <c r="P19" i="19"/>
  <c r="O19" i="19"/>
  <c r="N19" i="19"/>
  <c r="M19" i="19"/>
  <c r="O95" i="1" s="1"/>
  <c r="L19" i="19"/>
  <c r="K19" i="19"/>
  <c r="J19" i="19"/>
  <c r="I19" i="19"/>
  <c r="H19" i="19"/>
  <c r="J95" i="1" s="1"/>
  <c r="G19" i="19"/>
  <c r="I95" i="1" s="1"/>
  <c r="F19" i="19"/>
  <c r="H95" i="1" s="1"/>
  <c r="E19" i="19"/>
  <c r="G95" i="1" s="1"/>
  <c r="D19" i="19"/>
  <c r="F95" i="1" s="1"/>
  <c r="C19" i="19"/>
  <c r="E95" i="1" s="1"/>
  <c r="B19" i="19"/>
  <c r="A19" i="19"/>
  <c r="S18" i="19"/>
  <c r="R18" i="19"/>
  <c r="Q18" i="19"/>
  <c r="P18" i="19"/>
  <c r="R94" i="1" s="1"/>
  <c r="O18" i="19"/>
  <c r="N18" i="19"/>
  <c r="M18" i="19"/>
  <c r="L18" i="19"/>
  <c r="K18" i="19"/>
  <c r="M94" i="1" s="1"/>
  <c r="J18" i="19"/>
  <c r="L94" i="1" s="1"/>
  <c r="I18" i="19"/>
  <c r="K94" i="1" s="1"/>
  <c r="H18" i="19"/>
  <c r="J94" i="1" s="1"/>
  <c r="G18" i="19"/>
  <c r="I94" i="1" s="1"/>
  <c r="F18" i="19"/>
  <c r="H94" i="1" s="1"/>
  <c r="E18" i="19"/>
  <c r="D18" i="19"/>
  <c r="C18" i="19"/>
  <c r="B18" i="19"/>
  <c r="A18" i="19"/>
  <c r="S17" i="19"/>
  <c r="U93" i="1" s="1"/>
  <c r="R17" i="19"/>
  <c r="Q17" i="19"/>
  <c r="P17" i="19"/>
  <c r="O17" i="19"/>
  <c r="N17" i="19"/>
  <c r="P93" i="1" s="1"/>
  <c r="M17" i="19"/>
  <c r="O93" i="1" s="1"/>
  <c r="L17" i="19"/>
  <c r="N93" i="1" s="1"/>
  <c r="K17" i="19"/>
  <c r="M93" i="1" s="1"/>
  <c r="J17" i="19"/>
  <c r="L93" i="1" s="1"/>
  <c r="I17" i="19"/>
  <c r="K93" i="1" s="1"/>
  <c r="H17" i="19"/>
  <c r="G17" i="19"/>
  <c r="F17" i="19"/>
  <c r="E17" i="19"/>
  <c r="D17" i="19"/>
  <c r="C17" i="19"/>
  <c r="E93" i="1" s="1"/>
  <c r="B17" i="19"/>
  <c r="A17" i="19"/>
  <c r="S16" i="19"/>
  <c r="R16" i="19"/>
  <c r="Q16" i="19"/>
  <c r="S92" i="1" s="1"/>
  <c r="P16" i="19"/>
  <c r="R92" i="1" s="1"/>
  <c r="O16" i="19"/>
  <c r="Q92" i="1" s="1"/>
  <c r="N16" i="19"/>
  <c r="P92" i="1" s="1"/>
  <c r="M16" i="19"/>
  <c r="O92" i="1" s="1"/>
  <c r="L16" i="19"/>
  <c r="N92" i="1" s="1"/>
  <c r="K16" i="19"/>
  <c r="J16" i="19"/>
  <c r="I16" i="19"/>
  <c r="H16" i="19"/>
  <c r="G16" i="19"/>
  <c r="I92" i="1" s="1"/>
  <c r="F16" i="19"/>
  <c r="H92" i="1" s="1"/>
  <c r="E16" i="19"/>
  <c r="D16" i="19"/>
  <c r="C16" i="19"/>
  <c r="B16" i="19"/>
  <c r="A16" i="19"/>
  <c r="S15" i="19"/>
  <c r="U91" i="1" s="1"/>
  <c r="R15" i="19"/>
  <c r="T91" i="1" s="1"/>
  <c r="Q15" i="19"/>
  <c r="S91" i="1" s="1"/>
  <c r="P15" i="19"/>
  <c r="R91" i="1" s="1"/>
  <c r="O15" i="19"/>
  <c r="Q91" i="1" s="1"/>
  <c r="N15" i="19"/>
  <c r="M15" i="19"/>
  <c r="L15" i="19"/>
  <c r="K15" i="19"/>
  <c r="J15" i="19"/>
  <c r="I15" i="19"/>
  <c r="K91" i="1" s="1"/>
  <c r="H15" i="19"/>
  <c r="G15" i="19"/>
  <c r="F15" i="19"/>
  <c r="E15" i="19"/>
  <c r="D15" i="19"/>
  <c r="F91" i="1" s="1"/>
  <c r="C15" i="19"/>
  <c r="E91" i="1" s="1"/>
  <c r="B15" i="19"/>
  <c r="D91" i="1" s="1"/>
  <c r="A15" i="19"/>
  <c r="S14" i="19"/>
  <c r="U90" i="1" s="1"/>
  <c r="R14" i="19"/>
  <c r="T90" i="1" s="1"/>
  <c r="Q14" i="19"/>
  <c r="P14" i="19"/>
  <c r="O14" i="19"/>
  <c r="N14" i="19"/>
  <c r="M14" i="19"/>
  <c r="O90" i="1" s="1"/>
  <c r="L14" i="19"/>
  <c r="N90" i="1" s="1"/>
  <c r="K14" i="19"/>
  <c r="J14" i="19"/>
  <c r="I14" i="19"/>
  <c r="H14" i="19"/>
  <c r="G14" i="19"/>
  <c r="I90" i="1" s="1"/>
  <c r="F14" i="19"/>
  <c r="H90" i="1" s="1"/>
  <c r="E14" i="19"/>
  <c r="G90" i="1" s="1"/>
  <c r="D14" i="19"/>
  <c r="F90" i="1" s="1"/>
  <c r="C14" i="19"/>
  <c r="E90" i="1" s="1"/>
  <c r="B14" i="19"/>
  <c r="D90" i="1" s="1"/>
  <c r="A14" i="19"/>
  <c r="S13" i="19"/>
  <c r="R13" i="19"/>
  <c r="Q13" i="19"/>
  <c r="P13" i="19"/>
  <c r="O13" i="19"/>
  <c r="Q89" i="1" s="1"/>
  <c r="N13" i="19"/>
  <c r="M13" i="19"/>
  <c r="L13" i="19"/>
  <c r="K13" i="19"/>
  <c r="J13" i="19"/>
  <c r="L89" i="1" s="1"/>
  <c r="I13" i="19"/>
  <c r="K89" i="1" s="1"/>
  <c r="H13" i="19"/>
  <c r="J89" i="1" s="1"/>
  <c r="G13" i="19"/>
  <c r="I89" i="1" s="1"/>
  <c r="F13" i="19"/>
  <c r="H89" i="1" s="1"/>
  <c r="E13" i="19"/>
  <c r="G89" i="1" s="1"/>
  <c r="D13" i="19"/>
  <c r="C13" i="19"/>
  <c r="B13" i="19"/>
  <c r="A13" i="19"/>
  <c r="S12" i="19"/>
  <c r="U88" i="1" s="1"/>
  <c r="R12" i="19"/>
  <c r="T88" i="1" s="1"/>
  <c r="Q12" i="19"/>
  <c r="P12" i="19"/>
  <c r="O12" i="19"/>
  <c r="N12" i="19"/>
  <c r="M12" i="19"/>
  <c r="O88" i="1" s="1"/>
  <c r="L12" i="19"/>
  <c r="N88" i="1" s="1"/>
  <c r="K12" i="19"/>
  <c r="M88" i="1" s="1"/>
  <c r="J12" i="19"/>
  <c r="L88" i="1" s="1"/>
  <c r="I12" i="19"/>
  <c r="K88" i="1" s="1"/>
  <c r="H12" i="19"/>
  <c r="J88" i="1" s="1"/>
  <c r="G12" i="19"/>
  <c r="F12" i="19"/>
  <c r="E12" i="19"/>
  <c r="D12" i="19"/>
  <c r="C12" i="19"/>
  <c r="E88" i="1" s="1"/>
  <c r="B12" i="19"/>
  <c r="D88" i="1" s="1"/>
  <c r="A12" i="19"/>
  <c r="S11" i="19"/>
  <c r="R11" i="19"/>
  <c r="Q11" i="19"/>
  <c r="P11" i="19"/>
  <c r="R87" i="1" s="1"/>
  <c r="O11" i="19"/>
  <c r="Q87" i="1" s="1"/>
  <c r="N11" i="19"/>
  <c r="P87" i="1" s="1"/>
  <c r="M11" i="19"/>
  <c r="O87" i="1" s="1"/>
  <c r="L11" i="19"/>
  <c r="N87" i="1" s="1"/>
  <c r="K11" i="19"/>
  <c r="M87" i="1" s="1"/>
  <c r="J11" i="19"/>
  <c r="I11" i="19"/>
  <c r="H11" i="19"/>
  <c r="G11" i="19"/>
  <c r="F11" i="19"/>
  <c r="E11" i="19"/>
  <c r="G87" i="1" s="1"/>
  <c r="D11" i="19"/>
  <c r="C11" i="19"/>
  <c r="B11" i="19"/>
  <c r="A11" i="19"/>
  <c r="S10" i="19"/>
  <c r="U86" i="1" s="1"/>
  <c r="R10" i="19"/>
  <c r="T86" i="1" s="1"/>
  <c r="Q10" i="19"/>
  <c r="S86" i="1" s="1"/>
  <c r="P10" i="19"/>
  <c r="R86" i="1" s="1"/>
  <c r="O10" i="19"/>
  <c r="Q86" i="1" s="1"/>
  <c r="N10" i="19"/>
  <c r="P86" i="1" s="1"/>
  <c r="M10" i="19"/>
  <c r="L10" i="19"/>
  <c r="K10" i="19"/>
  <c r="J10" i="19"/>
  <c r="I10" i="19"/>
  <c r="K86" i="1" s="1"/>
  <c r="H10" i="19"/>
  <c r="J86" i="1" s="1"/>
  <c r="G10" i="19"/>
  <c r="F10" i="19"/>
  <c r="E10" i="19"/>
  <c r="D10" i="19"/>
  <c r="C10" i="19"/>
  <c r="E86" i="1" s="1"/>
  <c r="B10" i="19"/>
  <c r="D86" i="1" s="1"/>
  <c r="A10" i="19"/>
  <c r="S9" i="19"/>
  <c r="U85" i="1" s="1"/>
  <c r="R9" i="19"/>
  <c r="T85" i="1" s="1"/>
  <c r="Q9" i="19"/>
  <c r="S85" i="1" s="1"/>
  <c r="P9" i="19"/>
  <c r="O9" i="19"/>
  <c r="N9" i="19"/>
  <c r="M9" i="19"/>
  <c r="L9" i="19"/>
  <c r="K9" i="19"/>
  <c r="M85" i="1" s="1"/>
  <c r="J9" i="19"/>
  <c r="I9" i="19"/>
  <c r="H9" i="19"/>
  <c r="G9" i="19"/>
  <c r="F9" i="19"/>
  <c r="H85" i="1" s="1"/>
  <c r="E9" i="19"/>
  <c r="G85" i="1" s="1"/>
  <c r="D9" i="19"/>
  <c r="F85" i="1" s="1"/>
  <c r="C9" i="19"/>
  <c r="E85" i="1" s="1"/>
  <c r="B9" i="19"/>
  <c r="D85" i="1" s="1"/>
  <c r="A9" i="19"/>
  <c r="S8" i="19"/>
  <c r="R8" i="19"/>
  <c r="Q8" i="19"/>
  <c r="P8" i="19"/>
  <c r="O8" i="19"/>
  <c r="N8" i="19"/>
  <c r="P84" i="1" s="1"/>
  <c r="M8" i="19"/>
  <c r="L8" i="19"/>
  <c r="K8" i="19"/>
  <c r="J8" i="19"/>
  <c r="I8" i="19"/>
  <c r="K84" i="1" s="1"/>
  <c r="H8" i="19"/>
  <c r="J84" i="1" s="1"/>
  <c r="G8" i="19"/>
  <c r="I84" i="1" s="1"/>
  <c r="F8" i="19"/>
  <c r="H84" i="1" s="1"/>
  <c r="E8" i="19"/>
  <c r="G84" i="1" s="1"/>
  <c r="D8" i="19"/>
  <c r="F84" i="1" s="1"/>
  <c r="C8" i="19"/>
  <c r="B8" i="19"/>
  <c r="A8" i="19"/>
  <c r="S7" i="19"/>
  <c r="R7" i="19"/>
  <c r="Q7" i="19"/>
  <c r="S83" i="1" s="1"/>
  <c r="P7" i="19"/>
  <c r="O7" i="19"/>
  <c r="N7" i="19"/>
  <c r="M7" i="19"/>
  <c r="L7" i="19"/>
  <c r="N83" i="1" s="1"/>
  <c r="K7" i="19"/>
  <c r="M83" i="1" s="1"/>
  <c r="J7" i="19"/>
  <c r="L83" i="1" s="1"/>
  <c r="I7" i="19"/>
  <c r="K83" i="1" s="1"/>
  <c r="H7" i="19"/>
  <c r="J83" i="1" s="1"/>
  <c r="G7" i="19"/>
  <c r="I83" i="1" s="1"/>
  <c r="F7" i="19"/>
  <c r="E7" i="19"/>
  <c r="D7" i="19"/>
  <c r="C7" i="19"/>
  <c r="B7" i="19"/>
  <c r="A7" i="19"/>
  <c r="S6" i="19"/>
  <c r="R6" i="19"/>
  <c r="Q6" i="19"/>
  <c r="P6" i="19"/>
  <c r="O6" i="19"/>
  <c r="Q82" i="1" s="1"/>
  <c r="N6" i="19"/>
  <c r="P82" i="1" s="1"/>
  <c r="M6" i="19"/>
  <c r="O82" i="1" s="1"/>
  <c r="L6" i="19"/>
  <c r="N82" i="1" s="1"/>
  <c r="K6" i="19"/>
  <c r="M82" i="1" s="1"/>
  <c r="J6" i="19"/>
  <c r="L82" i="1" s="1"/>
  <c r="I6" i="19"/>
  <c r="H6" i="19"/>
  <c r="G6" i="19"/>
  <c r="F6" i="19"/>
  <c r="E6" i="19"/>
  <c r="D6" i="19"/>
  <c r="F82" i="1" s="1"/>
  <c r="C6" i="19"/>
  <c r="B6" i="19"/>
  <c r="A6" i="19"/>
  <c r="S5" i="19"/>
  <c r="R5" i="19"/>
  <c r="T81" i="1" s="1"/>
  <c r="Q5" i="19"/>
  <c r="S81" i="1" s="1"/>
  <c r="P5" i="19"/>
  <c r="R81" i="1" s="1"/>
  <c r="O5" i="19"/>
  <c r="Q81" i="1" s="1"/>
  <c r="N5" i="19"/>
  <c r="P81" i="1" s="1"/>
  <c r="M5" i="19"/>
  <c r="O81" i="1" s="1"/>
  <c r="L5" i="19"/>
  <c r="K5" i="19"/>
  <c r="J5" i="19"/>
  <c r="I5" i="19"/>
  <c r="H5" i="19"/>
  <c r="G5" i="19"/>
  <c r="I81" i="1" s="1"/>
  <c r="F5" i="19"/>
  <c r="E5" i="19"/>
  <c r="D5" i="19"/>
  <c r="C5" i="19"/>
  <c r="B5" i="19"/>
  <c r="D81" i="1" s="1"/>
  <c r="A5" i="19"/>
  <c r="S4" i="19"/>
  <c r="U80" i="1" s="1"/>
  <c r="R4" i="19"/>
  <c r="T80" i="1" s="1"/>
  <c r="Q4" i="19"/>
  <c r="S80" i="1" s="1"/>
  <c r="P4" i="19"/>
  <c r="R80" i="1" s="1"/>
  <c r="O4" i="19"/>
  <c r="N4" i="19"/>
  <c r="M4" i="19"/>
  <c r="L4" i="19"/>
  <c r="K4" i="19"/>
  <c r="J4" i="19"/>
  <c r="L80" i="1" s="1"/>
  <c r="I4" i="19"/>
  <c r="H4" i="19"/>
  <c r="G4" i="19"/>
  <c r="F4" i="19"/>
  <c r="E4" i="19"/>
  <c r="G80" i="1" s="1"/>
  <c r="D4" i="19"/>
  <c r="F80" i="1" s="1"/>
  <c r="C4" i="19"/>
  <c r="E80" i="1" s="1"/>
  <c r="B4" i="19"/>
  <c r="D80" i="1" s="1"/>
  <c r="A4" i="19"/>
  <c r="S3" i="19"/>
  <c r="U79" i="1" s="1"/>
  <c r="R3" i="19"/>
  <c r="Q3" i="19"/>
  <c r="P3" i="19"/>
  <c r="O3" i="19"/>
  <c r="N3" i="19"/>
  <c r="P79" i="1" s="1"/>
  <c r="M3" i="19"/>
  <c r="O79" i="1" s="1"/>
  <c r="L3" i="19"/>
  <c r="K3" i="19"/>
  <c r="J3" i="19"/>
  <c r="I3" i="19"/>
  <c r="H3" i="19"/>
  <c r="J79" i="1" s="1"/>
  <c r="G3" i="19"/>
  <c r="I79" i="1" s="1"/>
  <c r="F3" i="19"/>
  <c r="H79" i="1" s="1"/>
  <c r="E3" i="19"/>
  <c r="G79" i="1" s="1"/>
  <c r="D3" i="19"/>
  <c r="F79" i="1" s="1"/>
  <c r="C3" i="19"/>
  <c r="E79" i="1" s="1"/>
  <c r="B3" i="19"/>
  <c r="A3" i="19"/>
  <c r="S2" i="19"/>
  <c r="R2" i="19"/>
  <c r="Q2" i="19"/>
  <c r="P2" i="19"/>
  <c r="R78" i="1" s="1"/>
  <c r="O2" i="19"/>
  <c r="N2" i="19"/>
  <c r="M2" i="19"/>
  <c r="L2" i="19"/>
  <c r="K2" i="19"/>
  <c r="M78" i="1" s="1"/>
  <c r="J2" i="19"/>
  <c r="L78" i="1" s="1"/>
  <c r="I2" i="19"/>
  <c r="K78" i="1" s="1"/>
  <c r="H2" i="19"/>
  <c r="J78" i="1" s="1"/>
  <c r="G2" i="19"/>
  <c r="I78" i="1" s="1"/>
  <c r="F2" i="19"/>
  <c r="H78" i="1" s="1"/>
  <c r="E2" i="19"/>
  <c r="D2" i="19"/>
  <c r="C2" i="19"/>
  <c r="B2" i="19"/>
  <c r="A2" i="19"/>
  <c r="S1" i="19"/>
  <c r="R1" i="19"/>
  <c r="Q1" i="19"/>
  <c r="P1" i="19"/>
  <c r="O1" i="19"/>
  <c r="N1" i="19"/>
  <c r="M1" i="19"/>
  <c r="L1" i="19"/>
  <c r="K1" i="19"/>
  <c r="J1" i="19"/>
  <c r="I1" i="19"/>
  <c r="H1" i="19"/>
  <c r="G1" i="19"/>
  <c r="F1" i="19"/>
  <c r="E1" i="19"/>
  <c r="D1" i="19"/>
  <c r="C1" i="19"/>
  <c r="B1" i="19"/>
  <c r="A1" i="19"/>
  <c r="S26" i="18"/>
  <c r="R26" i="18"/>
  <c r="Q26" i="18"/>
  <c r="S77" i="1" s="1"/>
  <c r="P26" i="18"/>
  <c r="R77" i="1" s="1"/>
  <c r="O26" i="18"/>
  <c r="Q77" i="1" s="1"/>
  <c r="N26" i="18"/>
  <c r="P77" i="1" s="1"/>
  <c r="M26" i="18"/>
  <c r="O77" i="1" s="1"/>
  <c r="L26" i="18"/>
  <c r="N77" i="1" s="1"/>
  <c r="K26" i="18"/>
  <c r="J26" i="18"/>
  <c r="I26" i="18"/>
  <c r="H26" i="18"/>
  <c r="G26" i="18"/>
  <c r="F26" i="18"/>
  <c r="H77" i="1" s="1"/>
  <c r="E26" i="18"/>
  <c r="D26" i="18"/>
  <c r="C26" i="18"/>
  <c r="B26" i="18"/>
  <c r="A26" i="18"/>
  <c r="S25" i="18"/>
  <c r="U76" i="1" s="1"/>
  <c r="R25" i="18"/>
  <c r="T76" i="1" s="1"/>
  <c r="Q25" i="18"/>
  <c r="S76" i="1" s="1"/>
  <c r="P25" i="18"/>
  <c r="R76" i="1" s="1"/>
  <c r="O25" i="18"/>
  <c r="Q76" i="1" s="1"/>
  <c r="N25" i="18"/>
  <c r="M25" i="18"/>
  <c r="L25" i="18"/>
  <c r="K25" i="18"/>
  <c r="J25" i="18"/>
  <c r="L76" i="1" s="1"/>
  <c r="I25" i="18"/>
  <c r="K76" i="1" s="1"/>
  <c r="H25" i="18"/>
  <c r="G25" i="18"/>
  <c r="F25" i="18"/>
  <c r="E25" i="18"/>
  <c r="D25" i="18"/>
  <c r="F76" i="1" s="1"/>
  <c r="C25" i="18"/>
  <c r="E76" i="1" s="1"/>
  <c r="B25" i="18"/>
  <c r="D76" i="1" s="1"/>
  <c r="A25" i="18"/>
  <c r="S24" i="18"/>
  <c r="U75" i="1" s="1"/>
  <c r="R24" i="18"/>
  <c r="T75" i="1" s="1"/>
  <c r="Q24" i="18"/>
  <c r="P24" i="18"/>
  <c r="O24" i="18"/>
  <c r="N24" i="18"/>
  <c r="M24" i="18"/>
  <c r="L24" i="18"/>
  <c r="N75" i="1" s="1"/>
  <c r="K24" i="18"/>
  <c r="J24" i="18"/>
  <c r="I24" i="18"/>
  <c r="H24" i="18"/>
  <c r="G24" i="18"/>
  <c r="I75" i="1" s="1"/>
  <c r="F24" i="18"/>
  <c r="H75" i="1" s="1"/>
  <c r="E24" i="18"/>
  <c r="G75" i="1" s="1"/>
  <c r="D24" i="18"/>
  <c r="F75" i="1" s="1"/>
  <c r="C24" i="18"/>
  <c r="E75" i="1" s="1"/>
  <c r="B24" i="18"/>
  <c r="D75" i="1" s="1"/>
  <c r="A24" i="18"/>
  <c r="S23" i="18"/>
  <c r="R23" i="18"/>
  <c r="Q23" i="18"/>
  <c r="P23" i="18"/>
  <c r="O23" i="18"/>
  <c r="Q74" i="1" s="1"/>
  <c r="N23" i="18"/>
  <c r="M23" i="18"/>
  <c r="L23" i="18"/>
  <c r="K23" i="18"/>
  <c r="J23" i="18"/>
  <c r="L74" i="1" s="1"/>
  <c r="I23" i="18"/>
  <c r="K74" i="1" s="1"/>
  <c r="H23" i="18"/>
  <c r="J74" i="1" s="1"/>
  <c r="G23" i="18"/>
  <c r="I74" i="1" s="1"/>
  <c r="F23" i="18"/>
  <c r="H74" i="1" s="1"/>
  <c r="E23" i="18"/>
  <c r="G74" i="1" s="1"/>
  <c r="D23" i="18"/>
  <c r="C23" i="18"/>
  <c r="B23" i="18"/>
  <c r="A23" i="18"/>
  <c r="S22" i="18"/>
  <c r="R22" i="18"/>
  <c r="T73" i="1" s="1"/>
  <c r="Q22" i="18"/>
  <c r="P22" i="18"/>
  <c r="O22" i="18"/>
  <c r="N22" i="18"/>
  <c r="M22" i="18"/>
  <c r="O73" i="1" s="1"/>
  <c r="L22" i="18"/>
  <c r="N73" i="1" s="1"/>
  <c r="K22" i="18"/>
  <c r="M73" i="1" s="1"/>
  <c r="J22" i="18"/>
  <c r="L73" i="1" s="1"/>
  <c r="I22" i="18"/>
  <c r="K73" i="1" s="1"/>
  <c r="H22" i="18"/>
  <c r="J73" i="1" s="1"/>
  <c r="G22" i="18"/>
  <c r="F22" i="18"/>
  <c r="E22" i="18"/>
  <c r="D22" i="18"/>
  <c r="C22" i="18"/>
  <c r="B22" i="18"/>
  <c r="D73" i="1" s="1"/>
  <c r="A22" i="18"/>
  <c r="S21" i="18"/>
  <c r="R21" i="18"/>
  <c r="Q21" i="18"/>
  <c r="P21" i="18"/>
  <c r="R72" i="1" s="1"/>
  <c r="O21" i="18"/>
  <c r="Q72" i="1" s="1"/>
  <c r="N21" i="18"/>
  <c r="P72" i="1" s="1"/>
  <c r="M21" i="18"/>
  <c r="O72" i="1" s="1"/>
  <c r="L21" i="18"/>
  <c r="N72" i="1" s="1"/>
  <c r="K21" i="18"/>
  <c r="M72" i="1" s="1"/>
  <c r="J21" i="18"/>
  <c r="I21" i="18"/>
  <c r="H21" i="18"/>
  <c r="G21" i="18"/>
  <c r="F21" i="18"/>
  <c r="E21" i="18"/>
  <c r="G72" i="1" s="1"/>
  <c r="D21" i="18"/>
  <c r="C21" i="18"/>
  <c r="B21" i="18"/>
  <c r="A21" i="18"/>
  <c r="S20" i="18"/>
  <c r="U71" i="1" s="1"/>
  <c r="R20" i="18"/>
  <c r="T71" i="1" s="1"/>
  <c r="Q20" i="18"/>
  <c r="S71" i="1" s="1"/>
  <c r="P20" i="18"/>
  <c r="R71" i="1" s="1"/>
  <c r="O20" i="18"/>
  <c r="Q71" i="1" s="1"/>
  <c r="N20" i="18"/>
  <c r="P71" i="1" s="1"/>
  <c r="M20" i="18"/>
  <c r="L20" i="18"/>
  <c r="K20" i="18"/>
  <c r="J20" i="18"/>
  <c r="I20" i="18"/>
  <c r="H20" i="18"/>
  <c r="J71" i="1" s="1"/>
  <c r="G20" i="18"/>
  <c r="F20" i="18"/>
  <c r="E20" i="18"/>
  <c r="D20" i="18"/>
  <c r="C20" i="18"/>
  <c r="E71" i="1" s="1"/>
  <c r="B20" i="18"/>
  <c r="D71" i="1" s="1"/>
  <c r="A20" i="18"/>
  <c r="S19" i="18"/>
  <c r="U70" i="1" s="1"/>
  <c r="R19" i="18"/>
  <c r="T70" i="1" s="1"/>
  <c r="Q19" i="18"/>
  <c r="S70" i="1" s="1"/>
  <c r="P19" i="18"/>
  <c r="O19" i="18"/>
  <c r="N19" i="18"/>
  <c r="M19" i="18"/>
  <c r="L19" i="18"/>
  <c r="N70" i="1" s="1"/>
  <c r="K19" i="18"/>
  <c r="M70" i="1" s="1"/>
  <c r="J19" i="18"/>
  <c r="I19" i="18"/>
  <c r="H19" i="18"/>
  <c r="G19" i="18"/>
  <c r="F19" i="18"/>
  <c r="H70" i="1" s="1"/>
  <c r="E19" i="18"/>
  <c r="G70" i="1" s="1"/>
  <c r="D19" i="18"/>
  <c r="F70" i="1" s="1"/>
  <c r="C19" i="18"/>
  <c r="E70" i="1" s="1"/>
  <c r="B19" i="18"/>
  <c r="D70" i="1" s="1"/>
  <c r="A19" i="18"/>
  <c r="S18" i="18"/>
  <c r="R18" i="18"/>
  <c r="Q18" i="18"/>
  <c r="P18" i="18"/>
  <c r="O18" i="18"/>
  <c r="N18" i="18"/>
  <c r="P69" i="1" s="1"/>
  <c r="M18" i="18"/>
  <c r="L18" i="18"/>
  <c r="K18" i="18"/>
  <c r="J18" i="18"/>
  <c r="I18" i="18"/>
  <c r="K69" i="1" s="1"/>
  <c r="H18" i="18"/>
  <c r="J69" i="1" s="1"/>
  <c r="G18" i="18"/>
  <c r="I69" i="1" s="1"/>
  <c r="F18" i="18"/>
  <c r="H69" i="1" s="1"/>
  <c r="E18" i="18"/>
  <c r="G69" i="1" s="1"/>
  <c r="D18" i="18"/>
  <c r="F69" i="1" s="1"/>
  <c r="C18" i="18"/>
  <c r="B18" i="18"/>
  <c r="A18" i="18"/>
  <c r="S17" i="18"/>
  <c r="R17" i="18"/>
  <c r="T68" i="1" s="1"/>
  <c r="Q17" i="18"/>
  <c r="S68" i="1" s="1"/>
  <c r="P17" i="18"/>
  <c r="O17" i="18"/>
  <c r="N17" i="18"/>
  <c r="M17" i="18"/>
  <c r="L17" i="18"/>
  <c r="N68" i="1" s="1"/>
  <c r="K17" i="18"/>
  <c r="M68" i="1" s="1"/>
  <c r="J17" i="18"/>
  <c r="L68" i="1" s="1"/>
  <c r="I17" i="18"/>
  <c r="K68" i="1" s="1"/>
  <c r="H17" i="18"/>
  <c r="J68" i="1" s="1"/>
  <c r="G17" i="18"/>
  <c r="I68" i="1" s="1"/>
  <c r="F17" i="18"/>
  <c r="E17" i="18"/>
  <c r="D17" i="18"/>
  <c r="C17" i="18"/>
  <c r="B17" i="18"/>
  <c r="A17" i="18"/>
  <c r="S16" i="18"/>
  <c r="R16" i="18"/>
  <c r="Q16" i="18"/>
  <c r="P16" i="18"/>
  <c r="O16" i="18"/>
  <c r="Q67" i="1" s="1"/>
  <c r="N16" i="18"/>
  <c r="P67" i="1" s="1"/>
  <c r="M16" i="18"/>
  <c r="O67" i="1" s="1"/>
  <c r="L16" i="18"/>
  <c r="N67" i="1" s="1"/>
  <c r="K16" i="18"/>
  <c r="M67" i="1" s="1"/>
  <c r="J16" i="18"/>
  <c r="L67" i="1" s="1"/>
  <c r="I16" i="18"/>
  <c r="H16" i="18"/>
  <c r="G16" i="18"/>
  <c r="F16" i="18"/>
  <c r="E16" i="18"/>
  <c r="G67" i="1" s="1"/>
  <c r="D16" i="18"/>
  <c r="F67" i="1" s="1"/>
  <c r="C16" i="18"/>
  <c r="B16" i="18"/>
  <c r="A16" i="18"/>
  <c r="S15" i="18"/>
  <c r="R15" i="18"/>
  <c r="T66" i="1" s="1"/>
  <c r="Q15" i="18"/>
  <c r="S66" i="1" s="1"/>
  <c r="P15" i="18"/>
  <c r="R66" i="1" s="1"/>
  <c r="O15" i="18"/>
  <c r="Q66" i="1" s="1"/>
  <c r="N15" i="18"/>
  <c r="P66" i="1" s="1"/>
  <c r="M15" i="18"/>
  <c r="O66" i="1" s="1"/>
  <c r="L15" i="18"/>
  <c r="K15" i="18"/>
  <c r="J15" i="18"/>
  <c r="I15" i="18"/>
  <c r="H15" i="18"/>
  <c r="G15" i="18"/>
  <c r="I66" i="1" s="1"/>
  <c r="F15" i="18"/>
  <c r="E15" i="18"/>
  <c r="D15" i="18"/>
  <c r="C15" i="18"/>
  <c r="B15" i="18"/>
  <c r="D66" i="1" s="1"/>
  <c r="A15" i="18"/>
  <c r="S14" i="18"/>
  <c r="U65" i="1" s="1"/>
  <c r="R14" i="18"/>
  <c r="T65" i="1" s="1"/>
  <c r="Q14" i="18"/>
  <c r="S65" i="1" s="1"/>
  <c r="P14" i="18"/>
  <c r="R65" i="1" s="1"/>
  <c r="O14" i="18"/>
  <c r="N14" i="18"/>
  <c r="M14" i="18"/>
  <c r="L14" i="18"/>
  <c r="K14" i="18"/>
  <c r="J14" i="18"/>
  <c r="L65" i="1" s="1"/>
  <c r="I14" i="18"/>
  <c r="H14" i="18"/>
  <c r="G14" i="18"/>
  <c r="F14" i="18"/>
  <c r="E14" i="18"/>
  <c r="G65" i="1" s="1"/>
  <c r="D14" i="18"/>
  <c r="F65" i="1" s="1"/>
  <c r="C14" i="18"/>
  <c r="E65" i="1" s="1"/>
  <c r="B14" i="18"/>
  <c r="D65" i="1" s="1"/>
  <c r="A14" i="18"/>
  <c r="S13" i="18"/>
  <c r="U64" i="1" s="1"/>
  <c r="R13" i="18"/>
  <c r="Q13" i="18"/>
  <c r="P13" i="18"/>
  <c r="O13" i="18"/>
  <c r="N13" i="18"/>
  <c r="M13" i="18"/>
  <c r="O64" i="1" s="1"/>
  <c r="L13" i="18"/>
  <c r="K13" i="18"/>
  <c r="J13" i="18"/>
  <c r="I13" i="18"/>
  <c r="H13" i="18"/>
  <c r="J64" i="1" s="1"/>
  <c r="G13" i="18"/>
  <c r="I64" i="1" s="1"/>
  <c r="F13" i="18"/>
  <c r="H64" i="1" s="1"/>
  <c r="E13" i="18"/>
  <c r="G64" i="1" s="1"/>
  <c r="D13" i="18"/>
  <c r="F64" i="1" s="1"/>
  <c r="C13" i="18"/>
  <c r="E64" i="1" s="1"/>
  <c r="B13" i="18"/>
  <c r="A13" i="18"/>
  <c r="S12" i="18"/>
  <c r="R12" i="18"/>
  <c r="Q12" i="18"/>
  <c r="S63" i="1" s="1"/>
  <c r="P12" i="18"/>
  <c r="R63" i="1" s="1"/>
  <c r="O12" i="18"/>
  <c r="N12" i="18"/>
  <c r="M12" i="18"/>
  <c r="L12" i="18"/>
  <c r="K12" i="18"/>
  <c r="M63" i="1" s="1"/>
  <c r="J12" i="18"/>
  <c r="L63" i="1" s="1"/>
  <c r="I12" i="18"/>
  <c r="K63" i="1" s="1"/>
  <c r="H12" i="18"/>
  <c r="J63" i="1" s="1"/>
  <c r="G12" i="18"/>
  <c r="I63" i="1" s="1"/>
  <c r="F12" i="18"/>
  <c r="H63" i="1" s="1"/>
  <c r="E12" i="18"/>
  <c r="D12" i="18"/>
  <c r="C12" i="18"/>
  <c r="B12" i="18"/>
  <c r="A12" i="18"/>
  <c r="S11" i="18"/>
  <c r="U62" i="1" s="1"/>
  <c r="R11" i="18"/>
  <c r="Q11" i="18"/>
  <c r="P11" i="18"/>
  <c r="O11" i="18"/>
  <c r="N11" i="18"/>
  <c r="P62" i="1" s="1"/>
  <c r="M11" i="18"/>
  <c r="O62" i="1" s="1"/>
  <c r="L11" i="18"/>
  <c r="N62" i="1" s="1"/>
  <c r="K11" i="18"/>
  <c r="M62" i="1" s="1"/>
  <c r="J11" i="18"/>
  <c r="L62" i="1" s="1"/>
  <c r="I11" i="18"/>
  <c r="K62" i="1" s="1"/>
  <c r="H11" i="18"/>
  <c r="G11" i="18"/>
  <c r="F11" i="18"/>
  <c r="E11" i="18"/>
  <c r="D11" i="18"/>
  <c r="F62" i="1" s="1"/>
  <c r="C11" i="18"/>
  <c r="E62" i="1" s="1"/>
  <c r="B11" i="18"/>
  <c r="A11" i="18"/>
  <c r="S10" i="18"/>
  <c r="R10" i="18"/>
  <c r="Q10" i="18"/>
  <c r="S61" i="1" s="1"/>
  <c r="P10" i="18"/>
  <c r="R61" i="1" s="1"/>
  <c r="O10" i="18"/>
  <c r="Q61" i="1" s="1"/>
  <c r="N10" i="18"/>
  <c r="P61" i="1" s="1"/>
  <c r="M10" i="18"/>
  <c r="O61" i="1" s="1"/>
  <c r="L10" i="18"/>
  <c r="N61" i="1" s="1"/>
  <c r="K10" i="18"/>
  <c r="J10" i="18"/>
  <c r="I10" i="18"/>
  <c r="H10" i="18"/>
  <c r="G10" i="18"/>
  <c r="F10" i="18"/>
  <c r="H61" i="1" s="1"/>
  <c r="E10" i="18"/>
  <c r="D10" i="18"/>
  <c r="C10" i="18"/>
  <c r="B10" i="18"/>
  <c r="A10" i="18"/>
  <c r="S9" i="18"/>
  <c r="U60" i="1" s="1"/>
  <c r="R9" i="18"/>
  <c r="T60" i="1" s="1"/>
  <c r="Q9" i="18"/>
  <c r="S60" i="1" s="1"/>
  <c r="P9" i="18"/>
  <c r="R60" i="1" s="1"/>
  <c r="O9" i="18"/>
  <c r="Q60" i="1" s="1"/>
  <c r="N9" i="18"/>
  <c r="M9" i="18"/>
  <c r="L9" i="18"/>
  <c r="K9" i="18"/>
  <c r="J9" i="18"/>
  <c r="I9" i="18"/>
  <c r="K60" i="1" s="1"/>
  <c r="H9" i="18"/>
  <c r="G9" i="18"/>
  <c r="F9" i="18"/>
  <c r="E9" i="18"/>
  <c r="D9" i="18"/>
  <c r="F60" i="1" s="1"/>
  <c r="C9" i="18"/>
  <c r="E60" i="1" s="1"/>
  <c r="B9" i="18"/>
  <c r="D60" i="1" s="1"/>
  <c r="A9" i="18"/>
  <c r="S8" i="18"/>
  <c r="U59" i="1" s="1"/>
  <c r="R8" i="18"/>
  <c r="T59" i="1" s="1"/>
  <c r="Q8" i="18"/>
  <c r="P8" i="18"/>
  <c r="O8" i="18"/>
  <c r="N8" i="18"/>
  <c r="M8" i="18"/>
  <c r="O59" i="1" s="1"/>
  <c r="L8" i="18"/>
  <c r="N59" i="1" s="1"/>
  <c r="K8" i="18"/>
  <c r="J8" i="18"/>
  <c r="I8" i="18"/>
  <c r="H8" i="18"/>
  <c r="G8" i="18"/>
  <c r="I59" i="1" s="1"/>
  <c r="F8" i="18"/>
  <c r="H59" i="1" s="1"/>
  <c r="E8" i="18"/>
  <c r="G59" i="1" s="1"/>
  <c r="D8" i="18"/>
  <c r="F59" i="1" s="1"/>
  <c r="C8" i="18"/>
  <c r="E59" i="1" s="1"/>
  <c r="B8" i="18"/>
  <c r="D59" i="1" s="1"/>
  <c r="A8" i="18"/>
  <c r="S7" i="18"/>
  <c r="R7" i="18"/>
  <c r="Q7" i="18"/>
  <c r="P7" i="18"/>
  <c r="R58" i="1" s="1"/>
  <c r="O7" i="18"/>
  <c r="Q58" i="1" s="1"/>
  <c r="N7" i="18"/>
  <c r="M7" i="18"/>
  <c r="L7" i="18"/>
  <c r="K7" i="18"/>
  <c r="J7" i="18"/>
  <c r="L58" i="1" s="1"/>
  <c r="I7" i="18"/>
  <c r="K58" i="1" s="1"/>
  <c r="H7" i="18"/>
  <c r="J58" i="1" s="1"/>
  <c r="G7" i="18"/>
  <c r="I58" i="1" s="1"/>
  <c r="F7" i="18"/>
  <c r="H58" i="1" s="1"/>
  <c r="E7" i="18"/>
  <c r="G58" i="1" s="1"/>
  <c r="D7" i="18"/>
  <c r="C7" i="18"/>
  <c r="B7" i="18"/>
  <c r="A7" i="18"/>
  <c r="S6" i="18"/>
  <c r="U57" i="1" s="1"/>
  <c r="R6" i="18"/>
  <c r="T57" i="1" s="1"/>
  <c r="Q6" i="18"/>
  <c r="P6" i="18"/>
  <c r="O6" i="18"/>
  <c r="N6" i="18"/>
  <c r="M6" i="18"/>
  <c r="O57" i="1" s="1"/>
  <c r="L6" i="18"/>
  <c r="N57" i="1" s="1"/>
  <c r="K6" i="18"/>
  <c r="M57" i="1" s="1"/>
  <c r="J6" i="18"/>
  <c r="L57" i="1" s="1"/>
  <c r="I6" i="18"/>
  <c r="K57" i="1" s="1"/>
  <c r="H6" i="18"/>
  <c r="J57" i="1" s="1"/>
  <c r="G6" i="18"/>
  <c r="F6" i="18"/>
  <c r="E6" i="18"/>
  <c r="D6" i="18"/>
  <c r="C6" i="18"/>
  <c r="E57" i="1" s="1"/>
  <c r="B6" i="18"/>
  <c r="D57" i="1" s="1"/>
  <c r="A6" i="18"/>
  <c r="S5" i="18"/>
  <c r="R5" i="18"/>
  <c r="Q5" i="18"/>
  <c r="P5" i="18"/>
  <c r="R56" i="1" s="1"/>
  <c r="O5" i="18"/>
  <c r="Q56" i="1" s="1"/>
  <c r="N5" i="18"/>
  <c r="P56" i="1" s="1"/>
  <c r="M5" i="18"/>
  <c r="O56" i="1" s="1"/>
  <c r="L5" i="18"/>
  <c r="N56" i="1" s="1"/>
  <c r="K5" i="18"/>
  <c r="M56" i="1" s="1"/>
  <c r="J5" i="18"/>
  <c r="I5" i="18"/>
  <c r="H5" i="18"/>
  <c r="G5" i="18"/>
  <c r="F5" i="18"/>
  <c r="E5" i="18"/>
  <c r="G56" i="1" s="1"/>
  <c r="D5" i="18"/>
  <c r="C5" i="18"/>
  <c r="B5" i="18"/>
  <c r="A5" i="18"/>
  <c r="S4" i="18"/>
  <c r="U55" i="1" s="1"/>
  <c r="R4" i="18"/>
  <c r="T55" i="1" s="1"/>
  <c r="Q4" i="18"/>
  <c r="S55" i="1" s="1"/>
  <c r="P4" i="18"/>
  <c r="R55" i="1" s="1"/>
  <c r="O4" i="18"/>
  <c r="Q55" i="1" s="1"/>
  <c r="N4" i="18"/>
  <c r="P55" i="1" s="1"/>
  <c r="M4" i="18"/>
  <c r="L4" i="18"/>
  <c r="K4" i="18"/>
  <c r="J4" i="18"/>
  <c r="I4" i="18"/>
  <c r="K55" i="1" s="1"/>
  <c r="H4" i="18"/>
  <c r="J55" i="1" s="1"/>
  <c r="G4" i="18"/>
  <c r="F4" i="18"/>
  <c r="E4" i="18"/>
  <c r="D4" i="18"/>
  <c r="C4" i="18"/>
  <c r="E55" i="1" s="1"/>
  <c r="B4" i="18"/>
  <c r="D55" i="1" s="1"/>
  <c r="A4" i="18"/>
  <c r="S3" i="18"/>
  <c r="U54" i="1" s="1"/>
  <c r="R3" i="18"/>
  <c r="T54" i="1" s="1"/>
  <c r="Q3" i="18"/>
  <c r="S54" i="1" s="1"/>
  <c r="P3" i="18"/>
  <c r="O3" i="18"/>
  <c r="N3" i="18"/>
  <c r="M3" i="18"/>
  <c r="L3" i="18"/>
  <c r="N54" i="1" s="1"/>
  <c r="K3" i="18"/>
  <c r="M54" i="1" s="1"/>
  <c r="J3" i="18"/>
  <c r="I3" i="18"/>
  <c r="H3" i="18"/>
  <c r="G3" i="18"/>
  <c r="F3" i="18"/>
  <c r="H54" i="1" s="1"/>
  <c r="E3" i="18"/>
  <c r="G54" i="1" s="1"/>
  <c r="D3" i="18"/>
  <c r="F54" i="1" s="1"/>
  <c r="C3" i="18"/>
  <c r="E54" i="1" s="1"/>
  <c r="B3" i="18"/>
  <c r="D54" i="1" s="1"/>
  <c r="A3" i="18"/>
  <c r="S2" i="18"/>
  <c r="R2" i="18"/>
  <c r="Q2" i="18"/>
  <c r="P2" i="18"/>
  <c r="O2" i="18"/>
  <c r="N2" i="18"/>
  <c r="P53" i="1" s="1"/>
  <c r="M2" i="18"/>
  <c r="L2" i="18"/>
  <c r="K2" i="18"/>
  <c r="J2" i="18"/>
  <c r="I2" i="18"/>
  <c r="K53" i="1" s="1"/>
  <c r="H2" i="18"/>
  <c r="J53" i="1" s="1"/>
  <c r="G2" i="18"/>
  <c r="I53" i="1" s="1"/>
  <c r="F2" i="18"/>
  <c r="H53" i="1" s="1"/>
  <c r="E2" i="18"/>
  <c r="G53" i="1" s="1"/>
  <c r="D2" i="18"/>
  <c r="F53" i="1" s="1"/>
  <c r="C2" i="18"/>
  <c r="B2" i="18"/>
  <c r="A2" i="18"/>
  <c r="S1" i="18"/>
  <c r="R1" i="18"/>
  <c r="Q1" i="18"/>
  <c r="P1" i="18"/>
  <c r="O1" i="18"/>
  <c r="N1" i="18"/>
  <c r="M1" i="18"/>
  <c r="L1" i="18"/>
  <c r="K1" i="18"/>
  <c r="J1" i="18"/>
  <c r="I1" i="18"/>
  <c r="H1" i="18"/>
  <c r="G1" i="18"/>
  <c r="F1" i="18"/>
  <c r="E1" i="18"/>
  <c r="D1" i="18"/>
  <c r="C1" i="18"/>
  <c r="B1" i="18"/>
  <c r="A1" i="18"/>
  <c r="S17" i="17"/>
  <c r="R17" i="17"/>
  <c r="Q17" i="17"/>
  <c r="P17" i="17"/>
  <c r="O17" i="17"/>
  <c r="Q52" i="1" s="1"/>
  <c r="N17" i="17"/>
  <c r="P52" i="1" s="1"/>
  <c r="M17" i="17"/>
  <c r="O52" i="1" s="1"/>
  <c r="L17" i="17"/>
  <c r="N52" i="1" s="1"/>
  <c r="K17" i="17"/>
  <c r="M52" i="1" s="1"/>
  <c r="J17" i="17"/>
  <c r="L52" i="1" s="1"/>
  <c r="I17" i="17"/>
  <c r="H17" i="17"/>
  <c r="G17" i="17"/>
  <c r="F17" i="17"/>
  <c r="E17" i="17"/>
  <c r="D17" i="17"/>
  <c r="F52" i="1" s="1"/>
  <c r="C17" i="17"/>
  <c r="B17" i="17"/>
  <c r="A17" i="17"/>
  <c r="S16" i="17"/>
  <c r="R16" i="17"/>
  <c r="T51" i="1" s="1"/>
  <c r="Q16" i="17"/>
  <c r="S51" i="1" s="1"/>
  <c r="P16" i="17"/>
  <c r="R51" i="1" s="1"/>
  <c r="O16" i="17"/>
  <c r="Q51" i="1" s="1"/>
  <c r="N16" i="17"/>
  <c r="P51" i="1" s="1"/>
  <c r="M16" i="17"/>
  <c r="O51" i="1" s="1"/>
  <c r="L16" i="17"/>
  <c r="K16" i="17"/>
  <c r="J16" i="17"/>
  <c r="I16" i="17"/>
  <c r="H16" i="17"/>
  <c r="J51" i="1" s="1"/>
  <c r="G16" i="17"/>
  <c r="I51" i="1" s="1"/>
  <c r="F16" i="17"/>
  <c r="E16" i="17"/>
  <c r="D16" i="17"/>
  <c r="C16" i="17"/>
  <c r="B16" i="17"/>
  <c r="D51" i="1" s="1"/>
  <c r="A16" i="17"/>
  <c r="S15" i="17"/>
  <c r="U50" i="1" s="1"/>
  <c r="R15" i="17"/>
  <c r="T50" i="1" s="1"/>
  <c r="Q15" i="17"/>
  <c r="S50" i="1" s="1"/>
  <c r="P15" i="17"/>
  <c r="R50" i="1" s="1"/>
  <c r="O15" i="17"/>
  <c r="N15" i="17"/>
  <c r="M15" i="17"/>
  <c r="L15" i="17"/>
  <c r="K15" i="17"/>
  <c r="J15" i="17"/>
  <c r="L50" i="1" s="1"/>
  <c r="I15" i="17"/>
  <c r="H15" i="17"/>
  <c r="G15" i="17"/>
  <c r="F15" i="17"/>
  <c r="E15" i="17"/>
  <c r="G50" i="1" s="1"/>
  <c r="D15" i="17"/>
  <c r="F50" i="1" s="1"/>
  <c r="C15" i="17"/>
  <c r="E50" i="1" s="1"/>
  <c r="B15" i="17"/>
  <c r="D50" i="1" s="1"/>
  <c r="A15" i="17"/>
  <c r="S14" i="17"/>
  <c r="U49" i="1" s="1"/>
  <c r="R14" i="17"/>
  <c r="Q14" i="17"/>
  <c r="P14" i="17"/>
  <c r="O14" i="17"/>
  <c r="N14" i="17"/>
  <c r="P49" i="1" s="1"/>
  <c r="M14" i="17"/>
  <c r="O49" i="1" s="1"/>
  <c r="L14" i="17"/>
  <c r="K14" i="17"/>
  <c r="J14" i="17"/>
  <c r="I14" i="17"/>
  <c r="H14" i="17"/>
  <c r="J49" i="1" s="1"/>
  <c r="G14" i="17"/>
  <c r="I49" i="1" s="1"/>
  <c r="F14" i="17"/>
  <c r="H49" i="1" s="1"/>
  <c r="E14" i="17"/>
  <c r="G49" i="1" s="1"/>
  <c r="D14" i="17"/>
  <c r="F49" i="1" s="1"/>
  <c r="C14" i="17"/>
  <c r="E49" i="1" s="1"/>
  <c r="B14" i="17"/>
  <c r="A14" i="17"/>
  <c r="S13" i="17"/>
  <c r="R13" i="17"/>
  <c r="Q13" i="17"/>
  <c r="P13" i="17"/>
  <c r="R48" i="1" s="1"/>
  <c r="O13" i="17"/>
  <c r="N13" i="17"/>
  <c r="M13" i="17"/>
  <c r="L13" i="17"/>
  <c r="K13" i="17"/>
  <c r="M48" i="1" s="1"/>
  <c r="J13" i="17"/>
  <c r="L48" i="1" s="1"/>
  <c r="I13" i="17"/>
  <c r="K48" i="1" s="1"/>
  <c r="H13" i="17"/>
  <c r="J48" i="1" s="1"/>
  <c r="G13" i="17"/>
  <c r="I48" i="1" s="1"/>
  <c r="F13" i="17"/>
  <c r="H48" i="1" s="1"/>
  <c r="E13" i="17"/>
  <c r="D13" i="17"/>
  <c r="F48" i="1" s="1"/>
  <c r="C13" i="17"/>
  <c r="B13" i="17"/>
  <c r="A13" i="17"/>
  <c r="S12" i="17"/>
  <c r="U47" i="1" s="1"/>
  <c r="R12" i="17"/>
  <c r="Q12" i="17"/>
  <c r="P12" i="17"/>
  <c r="O12" i="17"/>
  <c r="N12" i="17"/>
  <c r="P47" i="1" s="1"/>
  <c r="M12" i="17"/>
  <c r="O47" i="1" s="1"/>
  <c r="L12" i="17"/>
  <c r="N47" i="1" s="1"/>
  <c r="K12" i="17"/>
  <c r="M47" i="1" s="1"/>
  <c r="J12" i="17"/>
  <c r="L47" i="1" s="1"/>
  <c r="I12" i="17"/>
  <c r="K47" i="1" s="1"/>
  <c r="H12" i="17"/>
  <c r="G12" i="17"/>
  <c r="F12" i="17"/>
  <c r="E12" i="17"/>
  <c r="D12" i="17"/>
  <c r="C12" i="17"/>
  <c r="E47" i="1" s="1"/>
  <c r="B12" i="17"/>
  <c r="A12" i="17"/>
  <c r="S11" i="17"/>
  <c r="R11" i="17"/>
  <c r="Q11" i="17"/>
  <c r="S46" i="1" s="1"/>
  <c r="P11" i="17"/>
  <c r="R46" i="1" s="1"/>
  <c r="O11" i="17"/>
  <c r="Q46" i="1" s="1"/>
  <c r="N11" i="17"/>
  <c r="P46" i="1" s="1"/>
  <c r="M11" i="17"/>
  <c r="O46" i="1" s="1"/>
  <c r="L11" i="17"/>
  <c r="N46" i="1" s="1"/>
  <c r="K11" i="17"/>
  <c r="J11" i="17"/>
  <c r="L46" i="1" s="1"/>
  <c r="I11" i="17"/>
  <c r="H11" i="17"/>
  <c r="G11" i="17"/>
  <c r="I46" i="1" s="1"/>
  <c r="F11" i="17"/>
  <c r="H46" i="1" s="1"/>
  <c r="E11" i="17"/>
  <c r="D11" i="17"/>
  <c r="C11" i="17"/>
  <c r="B11" i="17"/>
  <c r="A11" i="17"/>
  <c r="S10" i="17"/>
  <c r="U45" i="1" s="1"/>
  <c r="R10" i="17"/>
  <c r="T45" i="1" s="1"/>
  <c r="Q10" i="17"/>
  <c r="S45" i="1" s="1"/>
  <c r="P10" i="17"/>
  <c r="R45" i="1" s="1"/>
  <c r="O10" i="17"/>
  <c r="Q45" i="1" s="1"/>
  <c r="N10" i="17"/>
  <c r="M10" i="17"/>
  <c r="L10" i="17"/>
  <c r="K10" i="17"/>
  <c r="J10" i="17"/>
  <c r="I10" i="17"/>
  <c r="K45" i="1" s="1"/>
  <c r="H10" i="17"/>
  <c r="G10" i="17"/>
  <c r="F10" i="17"/>
  <c r="E10" i="17"/>
  <c r="D10" i="17"/>
  <c r="F45" i="1" s="1"/>
  <c r="C10" i="17"/>
  <c r="E45" i="1" s="1"/>
  <c r="B10" i="17"/>
  <c r="D45" i="1" s="1"/>
  <c r="A10" i="17"/>
  <c r="S9" i="17"/>
  <c r="U44" i="1" s="1"/>
  <c r="R9" i="17"/>
  <c r="T44" i="1" s="1"/>
  <c r="Q9" i="17"/>
  <c r="P9" i="17"/>
  <c r="O9" i="17"/>
  <c r="N9" i="17"/>
  <c r="M9" i="17"/>
  <c r="O44" i="1" s="1"/>
  <c r="L9" i="17"/>
  <c r="N44" i="1" s="1"/>
  <c r="K9" i="17"/>
  <c r="J9" i="17"/>
  <c r="I9" i="17"/>
  <c r="H9" i="17"/>
  <c r="G9" i="17"/>
  <c r="I44" i="1" s="1"/>
  <c r="F9" i="17"/>
  <c r="H44" i="1" s="1"/>
  <c r="E9" i="17"/>
  <c r="G44" i="1" s="1"/>
  <c r="D9" i="17"/>
  <c r="F44" i="1" s="1"/>
  <c r="C9" i="17"/>
  <c r="E44" i="1" s="1"/>
  <c r="B9" i="17"/>
  <c r="D44" i="1" s="1"/>
  <c r="A9" i="17"/>
  <c r="S8" i="17"/>
  <c r="R8" i="17"/>
  <c r="Q8" i="17"/>
  <c r="P8" i="17"/>
  <c r="O8" i="17"/>
  <c r="Q43" i="1" s="1"/>
  <c r="N8" i="17"/>
  <c r="M8" i="17"/>
  <c r="L8" i="17"/>
  <c r="K8" i="17"/>
  <c r="J8" i="17"/>
  <c r="L43" i="1" s="1"/>
  <c r="I8" i="17"/>
  <c r="K43" i="1" s="1"/>
  <c r="H8" i="17"/>
  <c r="J43" i="1" s="1"/>
  <c r="G8" i="17"/>
  <c r="I43" i="1" s="1"/>
  <c r="F8" i="17"/>
  <c r="H43" i="1" s="1"/>
  <c r="E8" i="17"/>
  <c r="G43" i="1" s="1"/>
  <c r="D8" i="17"/>
  <c r="C8" i="17"/>
  <c r="B8" i="17"/>
  <c r="A8" i="17"/>
  <c r="S7" i="17"/>
  <c r="U42" i="1" s="1"/>
  <c r="R7" i="17"/>
  <c r="T42" i="1" s="1"/>
  <c r="Q7" i="17"/>
  <c r="P7" i="17"/>
  <c r="O7" i="17"/>
  <c r="N7" i="17"/>
  <c r="M7" i="17"/>
  <c r="O42" i="1" s="1"/>
  <c r="L7" i="17"/>
  <c r="N42" i="1" s="1"/>
  <c r="K7" i="17"/>
  <c r="M42" i="1" s="1"/>
  <c r="J7" i="17"/>
  <c r="L42" i="1" s="1"/>
  <c r="I7" i="17"/>
  <c r="K42" i="1" s="1"/>
  <c r="H7" i="17"/>
  <c r="J42" i="1" s="1"/>
  <c r="G7" i="17"/>
  <c r="F7" i="17"/>
  <c r="E7" i="17"/>
  <c r="D7" i="17"/>
  <c r="C7" i="17"/>
  <c r="B7" i="17"/>
  <c r="D42" i="1" s="1"/>
  <c r="A7" i="17"/>
  <c r="S6" i="17"/>
  <c r="R6" i="17"/>
  <c r="Q6" i="17"/>
  <c r="P6" i="17"/>
  <c r="R41" i="1" s="1"/>
  <c r="O6" i="17"/>
  <c r="Q41" i="1" s="1"/>
  <c r="N6" i="17"/>
  <c r="P41" i="1" s="1"/>
  <c r="M6" i="17"/>
  <c r="O41" i="1" s="1"/>
  <c r="L6" i="17"/>
  <c r="N41" i="1" s="1"/>
  <c r="K6" i="17"/>
  <c r="M41" i="1" s="1"/>
  <c r="J6" i="17"/>
  <c r="I6" i="17"/>
  <c r="H6" i="17"/>
  <c r="G6" i="17"/>
  <c r="F6" i="17"/>
  <c r="H41" i="1" s="1"/>
  <c r="E6" i="17"/>
  <c r="G41" i="1" s="1"/>
  <c r="D6" i="17"/>
  <c r="C6" i="17"/>
  <c r="B6" i="17"/>
  <c r="A6" i="17"/>
  <c r="S5" i="17"/>
  <c r="U40" i="1" s="1"/>
  <c r="R5" i="17"/>
  <c r="T40" i="1" s="1"/>
  <c r="Q5" i="17"/>
  <c r="S40" i="1" s="1"/>
  <c r="P5" i="17"/>
  <c r="R40" i="1" s="1"/>
  <c r="O5" i="17"/>
  <c r="Q40" i="1" s="1"/>
  <c r="N5" i="17"/>
  <c r="P40" i="1" s="1"/>
  <c r="M5" i="17"/>
  <c r="L5" i="17"/>
  <c r="K5" i="17"/>
  <c r="J5" i="17"/>
  <c r="I5" i="17"/>
  <c r="H5" i="17"/>
  <c r="J40" i="1" s="1"/>
  <c r="G5" i="17"/>
  <c r="F5" i="17"/>
  <c r="E5" i="17"/>
  <c r="D5" i="17"/>
  <c r="C5" i="17"/>
  <c r="E40" i="1" s="1"/>
  <c r="B5" i="17"/>
  <c r="D40" i="1" s="1"/>
  <c r="A5" i="17"/>
  <c r="S4" i="17"/>
  <c r="U39" i="1" s="1"/>
  <c r="R4" i="17"/>
  <c r="T39" i="1" s="1"/>
  <c r="Q4" i="17"/>
  <c r="S39" i="1" s="1"/>
  <c r="P4" i="17"/>
  <c r="O4" i="17"/>
  <c r="N4" i="17"/>
  <c r="M4" i="17"/>
  <c r="L4" i="17"/>
  <c r="N39" i="1" s="1"/>
  <c r="K4" i="17"/>
  <c r="M39" i="1" s="1"/>
  <c r="J4" i="17"/>
  <c r="I4" i="17"/>
  <c r="H4" i="17"/>
  <c r="G4" i="17"/>
  <c r="F4" i="17"/>
  <c r="H39" i="1" s="1"/>
  <c r="E4" i="17"/>
  <c r="G39" i="1" s="1"/>
  <c r="D4" i="17"/>
  <c r="F39" i="1" s="1"/>
  <c r="C4" i="17"/>
  <c r="E39" i="1" s="1"/>
  <c r="B4" i="17"/>
  <c r="D39" i="1" s="1"/>
  <c r="A4" i="17"/>
  <c r="S3" i="17"/>
  <c r="R3" i="17"/>
  <c r="T38" i="1" s="1"/>
  <c r="Q3" i="17"/>
  <c r="P3" i="17"/>
  <c r="O3" i="17"/>
  <c r="N3" i="17"/>
  <c r="P38" i="1" s="1"/>
  <c r="M3" i="17"/>
  <c r="L3" i="17"/>
  <c r="K3" i="17"/>
  <c r="J3" i="17"/>
  <c r="I3" i="17"/>
  <c r="K38" i="1" s="1"/>
  <c r="H3" i="17"/>
  <c r="J38" i="1" s="1"/>
  <c r="G3" i="17"/>
  <c r="I38" i="1" s="1"/>
  <c r="F3" i="17"/>
  <c r="H38" i="1" s="1"/>
  <c r="E3" i="17"/>
  <c r="G38" i="1" s="1"/>
  <c r="D3" i="17"/>
  <c r="F38" i="1" s="1"/>
  <c r="C3" i="17"/>
  <c r="B3" i="17"/>
  <c r="A3" i="17"/>
  <c r="S2" i="17"/>
  <c r="R2" i="17"/>
  <c r="T37" i="1" s="1"/>
  <c r="Q2" i="17"/>
  <c r="S37" i="1" s="1"/>
  <c r="P2" i="17"/>
  <c r="O2" i="17"/>
  <c r="N2" i="17"/>
  <c r="M2" i="17"/>
  <c r="L2" i="17"/>
  <c r="N37" i="1" s="1"/>
  <c r="K2" i="17"/>
  <c r="M37" i="1" s="1"/>
  <c r="J2" i="17"/>
  <c r="L37" i="1" s="1"/>
  <c r="I2" i="17"/>
  <c r="K37" i="1" s="1"/>
  <c r="H2" i="17"/>
  <c r="J37" i="1" s="1"/>
  <c r="G2" i="17"/>
  <c r="I37" i="1" s="1"/>
  <c r="F2" i="17"/>
  <c r="E2" i="17"/>
  <c r="G37" i="1" s="1"/>
  <c r="D2" i="17"/>
  <c r="C2" i="17"/>
  <c r="B2" i="17"/>
  <c r="A2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B1" i="17"/>
  <c r="A1" i="17"/>
  <c r="S16" i="16"/>
  <c r="R16" i="16"/>
  <c r="T36" i="1" s="1"/>
  <c r="Q16" i="16"/>
  <c r="S36" i="1" s="1"/>
  <c r="P16" i="16"/>
  <c r="R36" i="1" s="1"/>
  <c r="O16" i="16"/>
  <c r="Q36" i="1" s="1"/>
  <c r="N16" i="16"/>
  <c r="P36" i="1" s="1"/>
  <c r="M16" i="16"/>
  <c r="O36" i="1" s="1"/>
  <c r="L16" i="16"/>
  <c r="K16" i="16"/>
  <c r="J16" i="16"/>
  <c r="I16" i="16"/>
  <c r="H16" i="16"/>
  <c r="J36" i="1" s="1"/>
  <c r="G16" i="16"/>
  <c r="I36" i="1" s="1"/>
  <c r="F16" i="16"/>
  <c r="E16" i="16"/>
  <c r="D16" i="16"/>
  <c r="C16" i="16"/>
  <c r="B16" i="16"/>
  <c r="D36" i="1" s="1"/>
  <c r="A16" i="16"/>
  <c r="S15" i="16"/>
  <c r="U35" i="1" s="1"/>
  <c r="R15" i="16"/>
  <c r="T35" i="1" s="1"/>
  <c r="Q15" i="16"/>
  <c r="S35" i="1" s="1"/>
  <c r="P15" i="16"/>
  <c r="R35" i="1" s="1"/>
  <c r="O15" i="16"/>
  <c r="N15" i="16"/>
  <c r="P35" i="1" s="1"/>
  <c r="M15" i="16"/>
  <c r="L15" i="16"/>
  <c r="K15" i="16"/>
  <c r="M35" i="1" s="1"/>
  <c r="J15" i="16"/>
  <c r="L35" i="1" s="1"/>
  <c r="I15" i="16"/>
  <c r="H15" i="16"/>
  <c r="G15" i="16"/>
  <c r="F15" i="16"/>
  <c r="E15" i="16"/>
  <c r="G35" i="1" s="1"/>
  <c r="D15" i="16"/>
  <c r="F35" i="1" s="1"/>
  <c r="C15" i="16"/>
  <c r="E35" i="1" s="1"/>
  <c r="B15" i="16"/>
  <c r="D35" i="1" s="1"/>
  <c r="A15" i="16"/>
  <c r="S14" i="16"/>
  <c r="U34" i="1" s="1"/>
  <c r="R14" i="16"/>
  <c r="Q14" i="16"/>
  <c r="P14" i="16"/>
  <c r="O14" i="16"/>
  <c r="N14" i="16"/>
  <c r="M14" i="16"/>
  <c r="O34" i="1" s="1"/>
  <c r="L14" i="16"/>
  <c r="K14" i="16"/>
  <c r="J14" i="16"/>
  <c r="I14" i="16"/>
  <c r="H14" i="16"/>
  <c r="J34" i="1" s="1"/>
  <c r="G14" i="16"/>
  <c r="I34" i="1" s="1"/>
  <c r="F14" i="16"/>
  <c r="H34" i="1" s="1"/>
  <c r="E14" i="16"/>
  <c r="G34" i="1" s="1"/>
  <c r="D14" i="16"/>
  <c r="F34" i="1" s="1"/>
  <c r="C14" i="16"/>
  <c r="E34" i="1" s="1"/>
  <c r="B14" i="16"/>
  <c r="A14" i="16"/>
  <c r="S13" i="16"/>
  <c r="R13" i="16"/>
  <c r="Q13" i="16"/>
  <c r="S33" i="1" s="1"/>
  <c r="P13" i="16"/>
  <c r="R33" i="1" s="1"/>
  <c r="O13" i="16"/>
  <c r="N13" i="16"/>
  <c r="M13" i="16"/>
  <c r="L13" i="16"/>
  <c r="K13" i="16"/>
  <c r="M33" i="1" s="1"/>
  <c r="J13" i="16"/>
  <c r="L33" i="1" s="1"/>
  <c r="I13" i="16"/>
  <c r="K33" i="1" s="1"/>
  <c r="H13" i="16"/>
  <c r="J33" i="1" s="1"/>
  <c r="G13" i="16"/>
  <c r="I33" i="1" s="1"/>
  <c r="F13" i="16"/>
  <c r="H33" i="1" s="1"/>
  <c r="E13" i="16"/>
  <c r="D13" i="16"/>
  <c r="C13" i="16"/>
  <c r="B13" i="16"/>
  <c r="A13" i="16"/>
  <c r="S12" i="16"/>
  <c r="U32" i="1" s="1"/>
  <c r="R12" i="16"/>
  <c r="Q12" i="16"/>
  <c r="P12" i="16"/>
  <c r="O12" i="16"/>
  <c r="N12" i="16"/>
  <c r="P32" i="1" s="1"/>
  <c r="M12" i="16"/>
  <c r="O32" i="1" s="1"/>
  <c r="L12" i="16"/>
  <c r="N32" i="1" s="1"/>
  <c r="K12" i="16"/>
  <c r="M32" i="1" s="1"/>
  <c r="J12" i="16"/>
  <c r="L32" i="1" s="1"/>
  <c r="I12" i="16"/>
  <c r="K32" i="1" s="1"/>
  <c r="H12" i="16"/>
  <c r="G12" i="16"/>
  <c r="F12" i="16"/>
  <c r="E12" i="16"/>
  <c r="D12" i="16"/>
  <c r="C12" i="16"/>
  <c r="E32" i="1" s="1"/>
  <c r="B12" i="16"/>
  <c r="A12" i="16"/>
  <c r="S11" i="16"/>
  <c r="R11" i="16"/>
  <c r="Q11" i="16"/>
  <c r="S31" i="1" s="1"/>
  <c r="P11" i="16"/>
  <c r="R31" i="1" s="1"/>
  <c r="O11" i="16"/>
  <c r="Q31" i="1" s="1"/>
  <c r="N11" i="16"/>
  <c r="P31" i="1" s="1"/>
  <c r="M11" i="16"/>
  <c r="O31" i="1" s="1"/>
  <c r="L11" i="16"/>
  <c r="N31" i="1" s="1"/>
  <c r="K11" i="16"/>
  <c r="J11" i="16"/>
  <c r="I11" i="16"/>
  <c r="H11" i="16"/>
  <c r="G11" i="16"/>
  <c r="I31" i="1" s="1"/>
  <c r="F11" i="16"/>
  <c r="H31" i="1" s="1"/>
  <c r="E11" i="16"/>
  <c r="D11" i="16"/>
  <c r="C11" i="16"/>
  <c r="B11" i="16"/>
  <c r="A11" i="16"/>
  <c r="S10" i="16"/>
  <c r="U30" i="1" s="1"/>
  <c r="R10" i="16"/>
  <c r="T30" i="1" s="1"/>
  <c r="Q10" i="16"/>
  <c r="S30" i="1" s="1"/>
  <c r="P10" i="16"/>
  <c r="R30" i="1" s="1"/>
  <c r="O10" i="16"/>
  <c r="Q30" i="1" s="1"/>
  <c r="N10" i="16"/>
  <c r="M10" i="16"/>
  <c r="O30" i="1" s="1"/>
  <c r="L10" i="16"/>
  <c r="K10" i="16"/>
  <c r="J10" i="16"/>
  <c r="I10" i="16"/>
  <c r="K30" i="1" s="1"/>
  <c r="H10" i="16"/>
  <c r="G10" i="16"/>
  <c r="F10" i="16"/>
  <c r="E10" i="16"/>
  <c r="D10" i="16"/>
  <c r="F30" i="1" s="1"/>
  <c r="C10" i="16"/>
  <c r="E30" i="1" s="1"/>
  <c r="B10" i="16"/>
  <c r="D30" i="1" s="1"/>
  <c r="A10" i="16"/>
  <c r="S9" i="16"/>
  <c r="U29" i="1" s="1"/>
  <c r="R9" i="16"/>
  <c r="T29" i="1" s="1"/>
  <c r="Q9" i="16"/>
  <c r="P9" i="16"/>
  <c r="R29" i="1" s="1"/>
  <c r="O9" i="16"/>
  <c r="N9" i="16"/>
  <c r="M9" i="16"/>
  <c r="O29" i="1" s="1"/>
  <c r="L9" i="16"/>
  <c r="N29" i="1" s="1"/>
  <c r="K9" i="16"/>
  <c r="J9" i="16"/>
  <c r="I9" i="16"/>
  <c r="H9" i="16"/>
  <c r="G9" i="16"/>
  <c r="I29" i="1" s="1"/>
  <c r="F9" i="16"/>
  <c r="H29" i="1" s="1"/>
  <c r="E9" i="16"/>
  <c r="G29" i="1" s="1"/>
  <c r="D9" i="16"/>
  <c r="F29" i="1" s="1"/>
  <c r="C9" i="16"/>
  <c r="E29" i="1" s="1"/>
  <c r="B9" i="16"/>
  <c r="D29" i="1" s="1"/>
  <c r="A9" i="16"/>
  <c r="S8" i="16"/>
  <c r="U28" i="1" s="1"/>
  <c r="R8" i="16"/>
  <c r="Q8" i="16"/>
  <c r="P8" i="16"/>
  <c r="O8" i="16"/>
  <c r="Q28" i="1" s="1"/>
  <c r="N8" i="16"/>
  <c r="M8" i="16"/>
  <c r="L8" i="16"/>
  <c r="K8" i="16"/>
  <c r="J8" i="16"/>
  <c r="L28" i="1" s="1"/>
  <c r="I8" i="16"/>
  <c r="K28" i="1" s="1"/>
  <c r="H8" i="16"/>
  <c r="J28" i="1" s="1"/>
  <c r="G8" i="16"/>
  <c r="I28" i="1" s="1"/>
  <c r="F8" i="16"/>
  <c r="H28" i="1" s="1"/>
  <c r="E8" i="16"/>
  <c r="G28" i="1" s="1"/>
  <c r="D8" i="16"/>
  <c r="C8" i="16"/>
  <c r="E28" i="1" s="1"/>
  <c r="B8" i="16"/>
  <c r="A8" i="16"/>
  <c r="S7" i="16"/>
  <c r="U27" i="1" s="1"/>
  <c r="R7" i="16"/>
  <c r="T27" i="1" s="1"/>
  <c r="Q7" i="16"/>
  <c r="P7" i="16"/>
  <c r="O7" i="16"/>
  <c r="N7" i="16"/>
  <c r="M7" i="16"/>
  <c r="O27" i="1" s="1"/>
  <c r="L7" i="16"/>
  <c r="N27" i="1" s="1"/>
  <c r="K7" i="16"/>
  <c r="M27" i="1" s="1"/>
  <c r="J7" i="16"/>
  <c r="L27" i="1" s="1"/>
  <c r="I7" i="16"/>
  <c r="K27" i="1" s="1"/>
  <c r="H7" i="16"/>
  <c r="J27" i="1" s="1"/>
  <c r="G7" i="16"/>
  <c r="F7" i="16"/>
  <c r="H27" i="1" s="1"/>
  <c r="E7" i="16"/>
  <c r="D7" i="16"/>
  <c r="C7" i="16"/>
  <c r="B7" i="16"/>
  <c r="D27" i="1" s="1"/>
  <c r="A7" i="16"/>
  <c r="S6" i="16"/>
  <c r="R6" i="16"/>
  <c r="Q6" i="16"/>
  <c r="P6" i="16"/>
  <c r="R26" i="1" s="1"/>
  <c r="O6" i="16"/>
  <c r="Q26" i="1" s="1"/>
  <c r="N6" i="16"/>
  <c r="P26" i="1" s="1"/>
  <c r="M6" i="16"/>
  <c r="O26" i="1" s="1"/>
  <c r="L6" i="16"/>
  <c r="N26" i="1" s="1"/>
  <c r="K6" i="16"/>
  <c r="M26" i="1" s="1"/>
  <c r="J6" i="16"/>
  <c r="I6" i="16"/>
  <c r="K26" i="1" s="1"/>
  <c r="H6" i="16"/>
  <c r="G6" i="16"/>
  <c r="F6" i="16"/>
  <c r="H26" i="1" s="1"/>
  <c r="E6" i="16"/>
  <c r="G26" i="1" s="1"/>
  <c r="D6" i="16"/>
  <c r="C6" i="16"/>
  <c r="B6" i="16"/>
  <c r="A6" i="16"/>
  <c r="S5" i="16"/>
  <c r="U25" i="1" s="1"/>
  <c r="R5" i="16"/>
  <c r="T25" i="1" s="1"/>
  <c r="Q5" i="16"/>
  <c r="S25" i="1" s="1"/>
  <c r="P5" i="16"/>
  <c r="R25" i="1" s="1"/>
  <c r="O5" i="16"/>
  <c r="Q25" i="1" s="1"/>
  <c r="N5" i="16"/>
  <c r="P25" i="1" s="1"/>
  <c r="M5" i="16"/>
  <c r="L5" i="16"/>
  <c r="K5" i="16"/>
  <c r="J5" i="16"/>
  <c r="I5" i="16"/>
  <c r="H5" i="16"/>
  <c r="J25" i="1" s="1"/>
  <c r="G5" i="16"/>
  <c r="F5" i="16"/>
  <c r="E5" i="16"/>
  <c r="D5" i="16"/>
  <c r="C5" i="16"/>
  <c r="E25" i="1" s="1"/>
  <c r="B5" i="16"/>
  <c r="D25" i="1" s="1"/>
  <c r="A5" i="16"/>
  <c r="S4" i="16"/>
  <c r="U24" i="1" s="1"/>
  <c r="R4" i="16"/>
  <c r="T24" i="1" s="1"/>
  <c r="Q4" i="16"/>
  <c r="S24" i="1" s="1"/>
  <c r="P4" i="16"/>
  <c r="O4" i="16"/>
  <c r="Q24" i="1" s="1"/>
  <c r="N4" i="16"/>
  <c r="M4" i="16"/>
  <c r="L4" i="16"/>
  <c r="N24" i="1" s="1"/>
  <c r="K4" i="16"/>
  <c r="M24" i="1" s="1"/>
  <c r="J4" i="16"/>
  <c r="I4" i="16"/>
  <c r="H4" i="16"/>
  <c r="G4" i="16"/>
  <c r="F4" i="16"/>
  <c r="H24" i="1" s="1"/>
  <c r="E4" i="16"/>
  <c r="G24" i="1" s="1"/>
  <c r="D4" i="16"/>
  <c r="F24" i="1" s="1"/>
  <c r="C4" i="16"/>
  <c r="E24" i="1" s="1"/>
  <c r="B4" i="16"/>
  <c r="D24" i="1" s="1"/>
  <c r="A4" i="16"/>
  <c r="S3" i="16"/>
  <c r="R3" i="16"/>
  <c r="T23" i="1" s="1"/>
  <c r="Q3" i="16"/>
  <c r="P3" i="16"/>
  <c r="O3" i="16"/>
  <c r="N3" i="16"/>
  <c r="P23" i="1" s="1"/>
  <c r="M3" i="16"/>
  <c r="L3" i="16"/>
  <c r="K3" i="16"/>
  <c r="J3" i="16"/>
  <c r="I3" i="16"/>
  <c r="K23" i="1" s="1"/>
  <c r="H3" i="16"/>
  <c r="J23" i="1" s="1"/>
  <c r="G3" i="16"/>
  <c r="I23" i="1" s="1"/>
  <c r="F3" i="16"/>
  <c r="H23" i="1" s="1"/>
  <c r="E3" i="16"/>
  <c r="G23" i="1" s="1"/>
  <c r="D3" i="16"/>
  <c r="F23" i="1" s="1"/>
  <c r="C3" i="16"/>
  <c r="B3" i="16"/>
  <c r="D23" i="1" s="1"/>
  <c r="A3" i="16"/>
  <c r="S2" i="16"/>
  <c r="R2" i="16"/>
  <c r="T22" i="1" s="1"/>
  <c r="Q2" i="16"/>
  <c r="S22" i="1" s="1"/>
  <c r="P2" i="16"/>
  <c r="O2" i="16"/>
  <c r="N2" i="16"/>
  <c r="M2" i="16"/>
  <c r="L2" i="16"/>
  <c r="N22" i="1" s="1"/>
  <c r="K2" i="16"/>
  <c r="M22" i="1" s="1"/>
  <c r="J2" i="16"/>
  <c r="L22" i="1" s="1"/>
  <c r="I2" i="16"/>
  <c r="K22" i="1" s="1"/>
  <c r="H2" i="16"/>
  <c r="J22" i="1" s="1"/>
  <c r="G2" i="16"/>
  <c r="I22" i="1" s="1"/>
  <c r="F2" i="16"/>
  <c r="E2" i="16"/>
  <c r="G22" i="1" s="1"/>
  <c r="D2" i="16"/>
  <c r="C2" i="16"/>
  <c r="B2" i="16"/>
  <c r="A2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A1" i="16"/>
  <c r="S9" i="15"/>
  <c r="R9" i="15"/>
  <c r="T21" i="1" s="1"/>
  <c r="Q9" i="15"/>
  <c r="S21" i="1" s="1"/>
  <c r="P9" i="15"/>
  <c r="R21" i="1" s="1"/>
  <c r="O9" i="15"/>
  <c r="Q21" i="1" s="1"/>
  <c r="N9" i="15"/>
  <c r="P21" i="1" s="1"/>
  <c r="M9" i="15"/>
  <c r="O21" i="1" s="1"/>
  <c r="L9" i="15"/>
  <c r="K9" i="15"/>
  <c r="M21" i="1" s="1"/>
  <c r="J9" i="15"/>
  <c r="I9" i="15"/>
  <c r="H9" i="15"/>
  <c r="G9" i="15"/>
  <c r="I21" i="1" s="1"/>
  <c r="F9" i="15"/>
  <c r="E9" i="15"/>
  <c r="D9" i="15"/>
  <c r="C9" i="15"/>
  <c r="B9" i="15"/>
  <c r="D21" i="1" s="1"/>
  <c r="A9" i="15"/>
  <c r="S8" i="15"/>
  <c r="U20" i="1" s="1"/>
  <c r="R8" i="15"/>
  <c r="T20" i="1" s="1"/>
  <c r="Q8" i="15"/>
  <c r="S20" i="1" s="1"/>
  <c r="P8" i="15"/>
  <c r="R20" i="1" s="1"/>
  <c r="O8" i="15"/>
  <c r="N8" i="15"/>
  <c r="P20" i="1" s="1"/>
  <c r="M8" i="15"/>
  <c r="L8" i="15"/>
  <c r="K8" i="15"/>
  <c r="J8" i="15"/>
  <c r="L20" i="1" s="1"/>
  <c r="I8" i="15"/>
  <c r="H8" i="15"/>
  <c r="G8" i="15"/>
  <c r="F8" i="15"/>
  <c r="E8" i="15"/>
  <c r="G20" i="1" s="1"/>
  <c r="D8" i="15"/>
  <c r="F20" i="1" s="1"/>
  <c r="C8" i="15"/>
  <c r="E20" i="1" s="1"/>
  <c r="B8" i="15"/>
  <c r="D20" i="1" s="1"/>
  <c r="A8" i="15"/>
  <c r="S7" i="15"/>
  <c r="U19" i="1" s="1"/>
  <c r="R7" i="15"/>
  <c r="Q7" i="15"/>
  <c r="S19" i="1" s="1"/>
  <c r="P7" i="15"/>
  <c r="O7" i="15"/>
  <c r="N7" i="15"/>
  <c r="P19" i="1" s="1"/>
  <c r="M7" i="15"/>
  <c r="O19" i="1" s="1"/>
  <c r="L7" i="15"/>
  <c r="K7" i="15"/>
  <c r="J7" i="15"/>
  <c r="I7" i="15"/>
  <c r="H7" i="15"/>
  <c r="J19" i="1" s="1"/>
  <c r="G7" i="15"/>
  <c r="I19" i="1" s="1"/>
  <c r="F7" i="15"/>
  <c r="H19" i="1" s="1"/>
  <c r="E7" i="15"/>
  <c r="G19" i="1" s="1"/>
  <c r="D7" i="15"/>
  <c r="F19" i="1" s="1"/>
  <c r="C7" i="15"/>
  <c r="E19" i="1" s="1"/>
  <c r="B7" i="15"/>
  <c r="A7" i="15"/>
  <c r="S6" i="15"/>
  <c r="R6" i="15"/>
  <c r="Q6" i="15"/>
  <c r="P6" i="15"/>
  <c r="R18" i="1" s="1"/>
  <c r="O6" i="15"/>
  <c r="N6" i="15"/>
  <c r="M6" i="15"/>
  <c r="L6" i="15"/>
  <c r="K6" i="15"/>
  <c r="M18" i="1" s="1"/>
  <c r="J6" i="15"/>
  <c r="L18" i="1" s="1"/>
  <c r="I6" i="15"/>
  <c r="K18" i="1" s="1"/>
  <c r="H6" i="15"/>
  <c r="J18" i="1" s="1"/>
  <c r="G6" i="15"/>
  <c r="I18" i="1" s="1"/>
  <c r="F6" i="15"/>
  <c r="H18" i="1" s="1"/>
  <c r="E6" i="15"/>
  <c r="D6" i="15"/>
  <c r="F18" i="1" s="1"/>
  <c r="C6" i="15"/>
  <c r="B6" i="15"/>
  <c r="A6" i="15"/>
  <c r="S5" i="15"/>
  <c r="U17" i="1" s="1"/>
  <c r="R5" i="15"/>
  <c r="Q5" i="15"/>
  <c r="P5" i="15"/>
  <c r="O5" i="15"/>
  <c r="N5" i="15"/>
  <c r="P17" i="1" s="1"/>
  <c r="M5" i="15"/>
  <c r="O17" i="1" s="1"/>
  <c r="L5" i="15"/>
  <c r="N17" i="1" s="1"/>
  <c r="K5" i="15"/>
  <c r="M17" i="1" s="1"/>
  <c r="J5" i="15"/>
  <c r="L17" i="1" s="1"/>
  <c r="I5" i="15"/>
  <c r="K17" i="1" s="1"/>
  <c r="H5" i="15"/>
  <c r="G5" i="15"/>
  <c r="I17" i="1" s="1"/>
  <c r="F5" i="15"/>
  <c r="E5" i="15"/>
  <c r="D5" i="15"/>
  <c r="F17" i="1" s="1"/>
  <c r="C5" i="15"/>
  <c r="E17" i="1" s="1"/>
  <c r="B5" i="15"/>
  <c r="A5" i="15"/>
  <c r="S4" i="15"/>
  <c r="R4" i="15"/>
  <c r="Q4" i="15"/>
  <c r="S16" i="1" s="1"/>
  <c r="P4" i="15"/>
  <c r="R16" i="1" s="1"/>
  <c r="O4" i="15"/>
  <c r="Q16" i="1" s="1"/>
  <c r="N4" i="15"/>
  <c r="P16" i="1" s="1"/>
  <c r="M4" i="15"/>
  <c r="O16" i="1" s="1"/>
  <c r="L4" i="15"/>
  <c r="N16" i="1" s="1"/>
  <c r="K4" i="15"/>
  <c r="J4" i="15"/>
  <c r="L16" i="1" s="1"/>
  <c r="I4" i="15"/>
  <c r="H4" i="15"/>
  <c r="G4" i="15"/>
  <c r="I16" i="1" s="1"/>
  <c r="F4" i="15"/>
  <c r="H16" i="1" s="1"/>
  <c r="E4" i="15"/>
  <c r="D4" i="15"/>
  <c r="C4" i="15"/>
  <c r="B4" i="15"/>
  <c r="A4" i="15"/>
  <c r="S3" i="15"/>
  <c r="U15" i="1" s="1"/>
  <c r="R3" i="15"/>
  <c r="T15" i="1" s="1"/>
  <c r="Q3" i="15"/>
  <c r="S15" i="1" s="1"/>
  <c r="P3" i="15"/>
  <c r="R15" i="1" s="1"/>
  <c r="O3" i="15"/>
  <c r="Q15" i="1" s="1"/>
  <c r="N3" i="15"/>
  <c r="M3" i="15"/>
  <c r="O15" i="1" s="1"/>
  <c r="L3" i="15"/>
  <c r="K3" i="15"/>
  <c r="J3" i="15"/>
  <c r="L15" i="1" s="1"/>
  <c r="I3" i="15"/>
  <c r="K15" i="1" s="1"/>
  <c r="H3" i="15"/>
  <c r="G3" i="15"/>
  <c r="F3" i="15"/>
  <c r="E3" i="15"/>
  <c r="D3" i="15"/>
  <c r="F15" i="1" s="1"/>
  <c r="C3" i="15"/>
  <c r="E15" i="1" s="1"/>
  <c r="B3" i="15"/>
  <c r="D15" i="1" s="1"/>
  <c r="A3" i="15"/>
  <c r="S2" i="15"/>
  <c r="U14" i="1" s="1"/>
  <c r="R2" i="15"/>
  <c r="T14" i="1" s="1"/>
  <c r="Q2" i="15"/>
  <c r="P2" i="15"/>
  <c r="R14" i="1" s="1"/>
  <c r="O2" i="15"/>
  <c r="N2" i="15"/>
  <c r="M2" i="15"/>
  <c r="O14" i="1" s="1"/>
  <c r="L2" i="15"/>
  <c r="N14" i="1" s="1"/>
  <c r="K2" i="15"/>
  <c r="J2" i="15"/>
  <c r="I2" i="15"/>
  <c r="H2" i="15"/>
  <c r="G2" i="15"/>
  <c r="I14" i="1" s="1"/>
  <c r="F2" i="15"/>
  <c r="H14" i="1" s="1"/>
  <c r="E2" i="15"/>
  <c r="G14" i="1" s="1"/>
  <c r="D2" i="15"/>
  <c r="F14" i="1" s="1"/>
  <c r="C2" i="15"/>
  <c r="E14" i="1" s="1"/>
  <c r="B2" i="15"/>
  <c r="D14" i="1" s="1"/>
  <c r="A2" i="15"/>
  <c r="S1" i="15"/>
  <c r="R1" i="15"/>
  <c r="Q1" i="15"/>
  <c r="P1" i="15"/>
  <c r="O1" i="15"/>
  <c r="N1" i="15"/>
  <c r="M1" i="15"/>
  <c r="L1" i="15"/>
  <c r="K1" i="15"/>
  <c r="J1" i="15"/>
  <c r="I1" i="15"/>
  <c r="H1" i="15"/>
  <c r="G1" i="15"/>
  <c r="F1" i="15"/>
  <c r="E1" i="15"/>
  <c r="D1" i="15"/>
  <c r="C1" i="15"/>
  <c r="B1" i="15"/>
  <c r="A1" i="15"/>
  <c r="J8" i="14"/>
  <c r="I8" i="14"/>
  <c r="D8" i="14"/>
  <c r="C8" i="14"/>
  <c r="B8" i="14"/>
  <c r="A8" i="14"/>
  <c r="J7" i="14"/>
  <c r="I7" i="14"/>
  <c r="D7" i="14"/>
  <c r="C7" i="14"/>
  <c r="B7" i="14"/>
  <c r="A7" i="14"/>
  <c r="J6" i="14"/>
  <c r="I6" i="14"/>
  <c r="D6" i="14"/>
  <c r="C6" i="14"/>
  <c r="B6" i="14"/>
  <c r="A6" i="14"/>
  <c r="J5" i="14"/>
  <c r="I5" i="14"/>
  <c r="D5" i="14"/>
  <c r="C5" i="14"/>
  <c r="B5" i="14"/>
  <c r="A5" i="14"/>
  <c r="J4" i="14"/>
  <c r="I4" i="14"/>
  <c r="D4" i="14"/>
  <c r="C4" i="14"/>
  <c r="B4" i="14"/>
  <c r="A4" i="14"/>
  <c r="J3" i="14"/>
  <c r="I3" i="14"/>
  <c r="D3" i="14"/>
  <c r="C3" i="14"/>
  <c r="B3" i="14"/>
  <c r="A3" i="14"/>
  <c r="F2" i="14"/>
  <c r="E2" i="14"/>
  <c r="D2" i="14"/>
  <c r="C2" i="14"/>
  <c r="B2" i="14"/>
  <c r="A2" i="14"/>
  <c r="O1" i="14"/>
  <c r="N1" i="14"/>
  <c r="M1" i="14"/>
  <c r="L1" i="14"/>
  <c r="K1" i="14"/>
  <c r="J1" i="14"/>
  <c r="I1" i="14"/>
  <c r="H1" i="14"/>
  <c r="G1" i="14"/>
  <c r="F1" i="14"/>
  <c r="E1" i="14"/>
  <c r="D1" i="14"/>
  <c r="C1" i="14"/>
  <c r="B1" i="14"/>
  <c r="A1" i="14"/>
  <c r="R12" i="13"/>
  <c r="Q12" i="13"/>
  <c r="L12" i="13"/>
  <c r="K12" i="13"/>
  <c r="E12" i="13"/>
  <c r="D12" i="13"/>
  <c r="C12" i="13"/>
  <c r="B12" i="13"/>
  <c r="P11" i="13"/>
  <c r="N11" i="13"/>
  <c r="M11" i="13"/>
  <c r="H11" i="13"/>
  <c r="G11" i="13"/>
  <c r="E11" i="13"/>
  <c r="D11" i="13"/>
  <c r="C11" i="13"/>
  <c r="B11" i="13"/>
  <c r="P10" i="13"/>
  <c r="N10" i="13"/>
  <c r="H10" i="13"/>
  <c r="E10" i="13"/>
  <c r="D10" i="13"/>
  <c r="C10" i="13"/>
  <c r="B10" i="13"/>
  <c r="L9" i="13"/>
  <c r="K9" i="13"/>
  <c r="G9" i="13"/>
  <c r="E9" i="13"/>
  <c r="D9" i="13"/>
  <c r="C9" i="13"/>
  <c r="B9" i="13"/>
  <c r="M8" i="13"/>
  <c r="J8" i="13"/>
  <c r="I8" i="13"/>
  <c r="E8" i="13"/>
  <c r="D8" i="13"/>
  <c r="C8" i="13"/>
  <c r="B8" i="13"/>
  <c r="P7" i="13"/>
  <c r="O7" i="13"/>
  <c r="K7" i="13"/>
  <c r="H7" i="13"/>
  <c r="E7" i="13"/>
  <c r="D7" i="13"/>
  <c r="C7" i="13"/>
  <c r="B7" i="13"/>
  <c r="P6" i="13"/>
  <c r="N6" i="13"/>
  <c r="M6" i="13"/>
  <c r="H6" i="13"/>
  <c r="E6" i="13"/>
  <c r="D6" i="13"/>
  <c r="C6" i="13"/>
  <c r="B6" i="13"/>
  <c r="O5" i="13"/>
  <c r="E5" i="13"/>
  <c r="D5" i="13"/>
  <c r="C5" i="13"/>
  <c r="B5" i="13"/>
  <c r="R4" i="13"/>
  <c r="Q4" i="13"/>
  <c r="L4" i="13"/>
  <c r="K4" i="13"/>
  <c r="E4" i="13"/>
  <c r="D4" i="13"/>
  <c r="C4" i="13"/>
  <c r="B4" i="13"/>
  <c r="P3" i="13"/>
  <c r="N3" i="13"/>
  <c r="M3" i="13"/>
  <c r="H3" i="13"/>
  <c r="G3" i="13"/>
  <c r="E3" i="13"/>
  <c r="D3" i="13"/>
  <c r="C3" i="13"/>
  <c r="B3" i="13"/>
  <c r="P2" i="13"/>
  <c r="N2" i="13"/>
  <c r="H2" i="13"/>
  <c r="E2" i="13"/>
  <c r="D2" i="13"/>
  <c r="C2" i="13"/>
  <c r="B2" i="13"/>
  <c r="L12" i="12"/>
  <c r="K12" i="12"/>
  <c r="G12" i="12"/>
  <c r="E12" i="12"/>
  <c r="D12" i="12"/>
  <c r="C12" i="12"/>
  <c r="B12" i="12"/>
  <c r="S11" i="12"/>
  <c r="M11" i="12"/>
  <c r="J11" i="12"/>
  <c r="I11" i="12"/>
  <c r="E11" i="12"/>
  <c r="D11" i="12"/>
  <c r="C11" i="12"/>
  <c r="B11" i="12"/>
  <c r="P10" i="12"/>
  <c r="O10" i="12"/>
  <c r="K10" i="12"/>
  <c r="H10" i="12"/>
  <c r="E10" i="12"/>
  <c r="D10" i="12"/>
  <c r="C10" i="12"/>
  <c r="B10" i="12"/>
  <c r="P9" i="12"/>
  <c r="N9" i="12"/>
  <c r="M9" i="12"/>
  <c r="H9" i="12"/>
  <c r="E9" i="12"/>
  <c r="D9" i="12"/>
  <c r="C9" i="12"/>
  <c r="B9" i="12"/>
  <c r="O8" i="12"/>
  <c r="E8" i="12"/>
  <c r="D8" i="12"/>
  <c r="C8" i="12"/>
  <c r="B8" i="12"/>
  <c r="R7" i="12"/>
  <c r="Q7" i="12"/>
  <c r="L7" i="12"/>
  <c r="K7" i="12"/>
  <c r="E7" i="12"/>
  <c r="D7" i="12"/>
  <c r="C7" i="12"/>
  <c r="B7" i="12"/>
  <c r="P6" i="12"/>
  <c r="N6" i="12"/>
  <c r="M6" i="12"/>
  <c r="H6" i="12"/>
  <c r="G6" i="12"/>
  <c r="E6" i="12"/>
  <c r="D6" i="12"/>
  <c r="C6" i="12"/>
  <c r="B6" i="12"/>
  <c r="P5" i="12"/>
  <c r="N5" i="12"/>
  <c r="H5" i="12"/>
  <c r="E5" i="12"/>
  <c r="D5" i="12"/>
  <c r="C5" i="12"/>
  <c r="B5" i="12"/>
  <c r="L4" i="12"/>
  <c r="K4" i="12"/>
  <c r="G4" i="12"/>
  <c r="E4" i="12"/>
  <c r="D4" i="12"/>
  <c r="C4" i="12"/>
  <c r="B4" i="12"/>
  <c r="S3" i="12"/>
  <c r="M3" i="12"/>
  <c r="J3" i="12"/>
  <c r="I3" i="12"/>
  <c r="E3" i="12"/>
  <c r="D3" i="12"/>
  <c r="C3" i="12"/>
  <c r="B3" i="12"/>
  <c r="P2" i="12"/>
  <c r="O2" i="12"/>
  <c r="K2" i="12"/>
  <c r="H2" i="12"/>
  <c r="E2" i="12"/>
  <c r="D2" i="12"/>
  <c r="C2" i="12"/>
  <c r="B2" i="12"/>
  <c r="P12" i="11"/>
  <c r="N12" i="11"/>
  <c r="M12" i="11"/>
  <c r="E12" i="11"/>
  <c r="D12" i="11"/>
  <c r="C12" i="11"/>
  <c r="B12" i="11"/>
  <c r="O11" i="11"/>
  <c r="E11" i="11"/>
  <c r="D11" i="11"/>
  <c r="C11" i="11"/>
  <c r="B11" i="11"/>
  <c r="R10" i="11"/>
  <c r="Q10" i="11"/>
  <c r="L10" i="11"/>
  <c r="K10" i="11"/>
  <c r="E10" i="11"/>
  <c r="D10" i="11"/>
  <c r="C10" i="11"/>
  <c r="B10" i="11"/>
  <c r="P9" i="11"/>
  <c r="N9" i="11"/>
  <c r="M9" i="11"/>
  <c r="H9" i="11"/>
  <c r="G9" i="11"/>
  <c r="E9" i="11"/>
  <c r="D9" i="11"/>
  <c r="C9" i="11"/>
  <c r="B9" i="11"/>
  <c r="N8" i="11"/>
  <c r="H8" i="11"/>
  <c r="E8" i="11"/>
  <c r="D8" i="11"/>
  <c r="C8" i="11"/>
  <c r="B8" i="11"/>
  <c r="L7" i="11"/>
  <c r="K7" i="11"/>
  <c r="E7" i="11"/>
  <c r="D7" i="11"/>
  <c r="C7" i="11"/>
  <c r="B7" i="11"/>
  <c r="S6" i="11"/>
  <c r="M6" i="11"/>
  <c r="J6" i="11"/>
  <c r="I6" i="11"/>
  <c r="E6" i="11"/>
  <c r="D6" i="11"/>
  <c r="C6" i="11"/>
  <c r="B6" i="11"/>
  <c r="P5" i="11"/>
  <c r="O5" i="11"/>
  <c r="K5" i="11"/>
  <c r="H5" i="11"/>
  <c r="E5" i="11"/>
  <c r="D5" i="11"/>
  <c r="C5" i="11"/>
  <c r="B5" i="11"/>
  <c r="P4" i="11"/>
  <c r="N4" i="11"/>
  <c r="M4" i="11"/>
  <c r="E4" i="11"/>
  <c r="D4" i="11"/>
  <c r="C4" i="11"/>
  <c r="B4" i="11"/>
  <c r="E3" i="11"/>
  <c r="D3" i="11"/>
  <c r="C3" i="11"/>
  <c r="B3" i="11"/>
  <c r="R2" i="11"/>
  <c r="Q2" i="11"/>
  <c r="L2" i="11"/>
  <c r="K2" i="11"/>
  <c r="E2" i="11"/>
  <c r="D2" i="11"/>
  <c r="C2" i="11"/>
  <c r="B2" i="11"/>
  <c r="T13" i="9"/>
  <c r="U13" i="3" s="1"/>
  <c r="S13" i="9"/>
  <c r="R13" i="9"/>
  <c r="Q13" i="9"/>
  <c r="P12" i="13" s="1"/>
  <c r="P13" i="9"/>
  <c r="O12" i="13" s="1"/>
  <c r="O13" i="9"/>
  <c r="N12" i="13" s="1"/>
  <c r="N13" i="9"/>
  <c r="M12" i="13" s="1"/>
  <c r="M13" i="9"/>
  <c r="L13" i="9"/>
  <c r="K13" i="9"/>
  <c r="J12" i="13" s="1"/>
  <c r="J13" i="9"/>
  <c r="I12" i="13" s="1"/>
  <c r="I13" i="9"/>
  <c r="H12" i="13" s="1"/>
  <c r="H13" i="9"/>
  <c r="G12" i="13" s="1"/>
  <c r="S12" i="9"/>
  <c r="R11" i="13" s="1"/>
  <c r="R12" i="9"/>
  <c r="Q11" i="13" s="1"/>
  <c r="Q12" i="9"/>
  <c r="P12" i="9"/>
  <c r="O11" i="13" s="1"/>
  <c r="O12" i="9"/>
  <c r="P12" i="3" s="1"/>
  <c r="N12" i="9"/>
  <c r="M12" i="9"/>
  <c r="L11" i="13" s="1"/>
  <c r="L12" i="9"/>
  <c r="M12" i="3" s="1"/>
  <c r="K12" i="9"/>
  <c r="J11" i="13" s="1"/>
  <c r="J12" i="9"/>
  <c r="I11" i="13" s="1"/>
  <c r="I12" i="9"/>
  <c r="H12" i="9"/>
  <c r="T12" i="9" s="1"/>
  <c r="T11" i="9"/>
  <c r="S10" i="13" s="1"/>
  <c r="S11" i="9"/>
  <c r="R10" i="13" s="1"/>
  <c r="R11" i="9"/>
  <c r="Q10" i="13" s="1"/>
  <c r="Q11" i="9"/>
  <c r="R11" i="3" s="1"/>
  <c r="P11" i="9"/>
  <c r="Q11" i="3" s="1"/>
  <c r="O11" i="9"/>
  <c r="N11" i="9"/>
  <c r="M10" i="13" s="1"/>
  <c r="M11" i="9"/>
  <c r="L10" i="13" s="1"/>
  <c r="L11" i="9"/>
  <c r="K10" i="13" s="1"/>
  <c r="K11" i="9"/>
  <c r="L11" i="3" s="1"/>
  <c r="J11" i="9"/>
  <c r="K11" i="3" s="1"/>
  <c r="I11" i="9"/>
  <c r="H11" i="9"/>
  <c r="G10" i="13" s="1"/>
  <c r="S10" i="9"/>
  <c r="T10" i="3" s="1"/>
  <c r="R10" i="9"/>
  <c r="S10" i="3" s="1"/>
  <c r="Q10" i="9"/>
  <c r="P9" i="13" s="1"/>
  <c r="P10" i="9"/>
  <c r="O9" i="13" s="1"/>
  <c r="O10" i="9"/>
  <c r="N9" i="13" s="1"/>
  <c r="N10" i="9"/>
  <c r="M9" i="13" s="1"/>
  <c r="M10" i="9"/>
  <c r="L10" i="9"/>
  <c r="K10" i="9"/>
  <c r="J9" i="13" s="1"/>
  <c r="J10" i="9"/>
  <c r="I9" i="13" s="1"/>
  <c r="I10" i="9"/>
  <c r="H9" i="13" s="1"/>
  <c r="H10" i="9"/>
  <c r="T10" i="9" s="1"/>
  <c r="S9" i="9"/>
  <c r="R8" i="13" s="1"/>
  <c r="R9" i="9"/>
  <c r="Q8" i="13" s="1"/>
  <c r="Q9" i="9"/>
  <c r="P8" i="13" s="1"/>
  <c r="P9" i="9"/>
  <c r="O8" i="13" s="1"/>
  <c r="O9" i="9"/>
  <c r="P9" i="3" s="1"/>
  <c r="N9" i="9"/>
  <c r="M9" i="9"/>
  <c r="L8" i="13" s="1"/>
  <c r="L9" i="9"/>
  <c r="M9" i="3" s="1"/>
  <c r="K9" i="9"/>
  <c r="J9" i="9"/>
  <c r="I9" i="9"/>
  <c r="H8" i="13" s="1"/>
  <c r="H9" i="9"/>
  <c r="G8" i="13" s="1"/>
  <c r="T8" i="9"/>
  <c r="G8" i="9" s="1"/>
  <c r="S8" i="9"/>
  <c r="R7" i="13" s="1"/>
  <c r="R8" i="9"/>
  <c r="Q7" i="13" s="1"/>
  <c r="Q8" i="9"/>
  <c r="P8" i="9"/>
  <c r="O8" i="9"/>
  <c r="P8" i="3" s="1"/>
  <c r="N8" i="9"/>
  <c r="O8" i="3" s="1"/>
  <c r="M8" i="9"/>
  <c r="L7" i="13" s="1"/>
  <c r="L8" i="9"/>
  <c r="K8" i="9"/>
  <c r="J7" i="13" s="1"/>
  <c r="J8" i="9"/>
  <c r="I7" i="13" s="1"/>
  <c r="I8" i="9"/>
  <c r="H8" i="9"/>
  <c r="G7" i="13" s="1"/>
  <c r="S7" i="9"/>
  <c r="T7" i="3" s="1"/>
  <c r="R7" i="9"/>
  <c r="S7" i="3" s="1"/>
  <c r="Q7" i="9"/>
  <c r="P7" i="9"/>
  <c r="O6" i="13" s="1"/>
  <c r="O7" i="9"/>
  <c r="N7" i="9"/>
  <c r="M7" i="9"/>
  <c r="L6" i="13" s="1"/>
  <c r="L7" i="9"/>
  <c r="K6" i="13" s="1"/>
  <c r="K7" i="9"/>
  <c r="J6" i="13" s="1"/>
  <c r="J7" i="9"/>
  <c r="I6" i="13" s="1"/>
  <c r="I7" i="9"/>
  <c r="J7" i="3" s="1"/>
  <c r="H7" i="9"/>
  <c r="I7" i="3" s="1"/>
  <c r="S6" i="9"/>
  <c r="R5" i="13" s="1"/>
  <c r="R6" i="9"/>
  <c r="Q5" i="13" s="1"/>
  <c r="Q6" i="9"/>
  <c r="P5" i="13" s="1"/>
  <c r="P6" i="9"/>
  <c r="O6" i="9"/>
  <c r="N5" i="13" s="1"/>
  <c r="N6" i="9"/>
  <c r="M5" i="13" s="1"/>
  <c r="M6" i="9"/>
  <c r="L5" i="13" s="1"/>
  <c r="L6" i="9"/>
  <c r="K5" i="13" s="1"/>
  <c r="K6" i="9"/>
  <c r="L6" i="3" s="1"/>
  <c r="J6" i="9"/>
  <c r="K6" i="3" s="1"/>
  <c r="I6" i="9"/>
  <c r="H5" i="13" s="1"/>
  <c r="H6" i="9"/>
  <c r="T6" i="9" s="1"/>
  <c r="T5" i="9"/>
  <c r="U5" i="3" s="1"/>
  <c r="S5" i="9"/>
  <c r="R5" i="9"/>
  <c r="Q5" i="9"/>
  <c r="P4" i="13" s="1"/>
  <c r="P5" i="9"/>
  <c r="O4" i="13" s="1"/>
  <c r="O5" i="9"/>
  <c r="N4" i="13" s="1"/>
  <c r="N5" i="9"/>
  <c r="M4" i="13" s="1"/>
  <c r="M5" i="9"/>
  <c r="L5" i="9"/>
  <c r="K5" i="9"/>
  <c r="J4" i="13" s="1"/>
  <c r="J5" i="9"/>
  <c r="I4" i="13" s="1"/>
  <c r="I5" i="9"/>
  <c r="H4" i="13" s="1"/>
  <c r="H5" i="9"/>
  <c r="G4" i="13" s="1"/>
  <c r="S4" i="9"/>
  <c r="R3" i="13" s="1"/>
  <c r="R4" i="9"/>
  <c r="Q3" i="13" s="1"/>
  <c r="Q4" i="9"/>
  <c r="P4" i="9"/>
  <c r="O3" i="13" s="1"/>
  <c r="O4" i="9"/>
  <c r="P4" i="3" s="1"/>
  <c r="N4" i="9"/>
  <c r="M4" i="9"/>
  <c r="N4" i="3" s="1"/>
  <c r="L4" i="9"/>
  <c r="M4" i="3" s="1"/>
  <c r="K4" i="9"/>
  <c r="J3" i="13" s="1"/>
  <c r="J4" i="9"/>
  <c r="I3" i="13" s="1"/>
  <c r="I4" i="9"/>
  <c r="H4" i="9"/>
  <c r="T4" i="9" s="1"/>
  <c r="T3" i="9"/>
  <c r="S2" i="13" s="1"/>
  <c r="S3" i="9"/>
  <c r="R2" i="13" s="1"/>
  <c r="R3" i="9"/>
  <c r="Q2" i="13" s="1"/>
  <c r="Q3" i="9"/>
  <c r="R3" i="3" s="1"/>
  <c r="P3" i="9"/>
  <c r="Q3" i="3" s="1"/>
  <c r="O3" i="9"/>
  <c r="N3" i="9"/>
  <c r="M2" i="13" s="1"/>
  <c r="M3" i="9"/>
  <c r="L2" i="13" s="1"/>
  <c r="L3" i="9"/>
  <c r="K2" i="13" s="1"/>
  <c r="K3" i="9"/>
  <c r="L3" i="3" s="1"/>
  <c r="J3" i="9"/>
  <c r="K3" i="3" s="1"/>
  <c r="I3" i="9"/>
  <c r="H3" i="9"/>
  <c r="G2" i="13" s="1"/>
  <c r="S13" i="8"/>
  <c r="R13" i="8"/>
  <c r="Q13" i="8"/>
  <c r="P12" i="12" s="1"/>
  <c r="P13" i="8"/>
  <c r="O12" i="12" s="1"/>
  <c r="O13" i="8"/>
  <c r="N12" i="12" s="1"/>
  <c r="N13" i="8"/>
  <c r="M12" i="12" s="1"/>
  <c r="M13" i="8"/>
  <c r="L13" i="8"/>
  <c r="K13" i="8"/>
  <c r="J12" i="12" s="1"/>
  <c r="J13" i="8"/>
  <c r="I12" i="12" s="1"/>
  <c r="I13" i="8"/>
  <c r="H12" i="12" s="1"/>
  <c r="H13" i="8"/>
  <c r="T13" i="8" s="1"/>
  <c r="T12" i="8"/>
  <c r="S12" i="8"/>
  <c r="R11" i="12" s="1"/>
  <c r="R12" i="8"/>
  <c r="Q11" i="12" s="1"/>
  <c r="Q12" i="8"/>
  <c r="P11" i="12" s="1"/>
  <c r="P12" i="8"/>
  <c r="O11" i="12" s="1"/>
  <c r="O12" i="8"/>
  <c r="N12" i="8"/>
  <c r="M12" i="8"/>
  <c r="L11" i="12" s="1"/>
  <c r="L12" i="8"/>
  <c r="K12" i="8"/>
  <c r="J12" i="8"/>
  <c r="I12" i="8"/>
  <c r="H11" i="12" s="1"/>
  <c r="H12" i="8"/>
  <c r="G11" i="12" s="1"/>
  <c r="G12" i="8"/>
  <c r="F11" i="12" s="1"/>
  <c r="T11" i="8"/>
  <c r="G11" i="8" s="1"/>
  <c r="S11" i="8"/>
  <c r="R10" i="12" s="1"/>
  <c r="R11" i="8"/>
  <c r="Q10" i="12" s="1"/>
  <c r="Q11" i="8"/>
  <c r="P11" i="8"/>
  <c r="O11" i="8"/>
  <c r="N11" i="8"/>
  <c r="M11" i="8"/>
  <c r="L10" i="12" s="1"/>
  <c r="L11" i="8"/>
  <c r="K11" i="8"/>
  <c r="J10" i="12" s="1"/>
  <c r="J11" i="8"/>
  <c r="I10" i="12" s="1"/>
  <c r="I11" i="8"/>
  <c r="H11" i="8"/>
  <c r="G10" i="12" s="1"/>
  <c r="S10" i="8"/>
  <c r="R10" i="8"/>
  <c r="Q10" i="8"/>
  <c r="P10" i="8"/>
  <c r="O9" i="12" s="1"/>
  <c r="O10" i="8"/>
  <c r="N10" i="8"/>
  <c r="M10" i="8"/>
  <c r="L9" i="12" s="1"/>
  <c r="L10" i="8"/>
  <c r="K9" i="12" s="1"/>
  <c r="K10" i="8"/>
  <c r="J9" i="12" s="1"/>
  <c r="J10" i="8"/>
  <c r="I9" i="12" s="1"/>
  <c r="I10" i="8"/>
  <c r="H10" i="8"/>
  <c r="S9" i="8"/>
  <c r="R8" i="12" s="1"/>
  <c r="R9" i="8"/>
  <c r="Q8" i="12" s="1"/>
  <c r="Q9" i="8"/>
  <c r="P8" i="12" s="1"/>
  <c r="P9" i="8"/>
  <c r="O9" i="8"/>
  <c r="N8" i="12" s="1"/>
  <c r="N9" i="8"/>
  <c r="M8" i="12" s="1"/>
  <c r="M9" i="8"/>
  <c r="L8" i="12" s="1"/>
  <c r="L9" i="8"/>
  <c r="K8" i="12" s="1"/>
  <c r="K9" i="8"/>
  <c r="J9" i="8"/>
  <c r="I9" i="8"/>
  <c r="H8" i="12" s="1"/>
  <c r="H9" i="8"/>
  <c r="T9" i="8" s="1"/>
  <c r="T8" i="8"/>
  <c r="U8" i="2" s="1"/>
  <c r="S8" i="8"/>
  <c r="R8" i="8"/>
  <c r="Q8" i="8"/>
  <c r="P7" i="12" s="1"/>
  <c r="P8" i="8"/>
  <c r="O7" i="12" s="1"/>
  <c r="O8" i="8"/>
  <c r="N7" i="12" s="1"/>
  <c r="N8" i="8"/>
  <c r="M7" i="12" s="1"/>
  <c r="M8" i="8"/>
  <c r="L8" i="8"/>
  <c r="K8" i="8"/>
  <c r="J7" i="12" s="1"/>
  <c r="J8" i="8"/>
  <c r="I7" i="12" s="1"/>
  <c r="I8" i="8"/>
  <c r="H7" i="12" s="1"/>
  <c r="H8" i="8"/>
  <c r="G7" i="12" s="1"/>
  <c r="S7" i="8"/>
  <c r="R6" i="12" s="1"/>
  <c r="R7" i="8"/>
  <c r="Q6" i="12" s="1"/>
  <c r="Q7" i="8"/>
  <c r="P7" i="8"/>
  <c r="O6" i="12" s="1"/>
  <c r="O7" i="8"/>
  <c r="N7" i="8"/>
  <c r="M7" i="8"/>
  <c r="L7" i="8"/>
  <c r="K7" i="8"/>
  <c r="J6" i="12" s="1"/>
  <c r="J7" i="8"/>
  <c r="I6" i="12" s="1"/>
  <c r="I7" i="8"/>
  <c r="H7" i="8"/>
  <c r="T7" i="8" s="1"/>
  <c r="T6" i="8"/>
  <c r="S5" i="12" s="1"/>
  <c r="S6" i="8"/>
  <c r="R5" i="12" s="1"/>
  <c r="R6" i="8"/>
  <c r="Q5" i="12" s="1"/>
  <c r="Q6" i="8"/>
  <c r="P6" i="8"/>
  <c r="O6" i="8"/>
  <c r="N6" i="8"/>
  <c r="M5" i="12" s="1"/>
  <c r="M6" i="8"/>
  <c r="L5" i="12" s="1"/>
  <c r="L6" i="8"/>
  <c r="K5" i="12" s="1"/>
  <c r="K6" i="8"/>
  <c r="J6" i="8"/>
  <c r="I6" i="8"/>
  <c r="H6" i="8"/>
  <c r="G5" i="12" s="1"/>
  <c r="S5" i="8"/>
  <c r="R5" i="8"/>
  <c r="Q5" i="8"/>
  <c r="P4" i="12" s="1"/>
  <c r="P5" i="8"/>
  <c r="O4" i="12" s="1"/>
  <c r="O5" i="8"/>
  <c r="N4" i="12" s="1"/>
  <c r="N5" i="8"/>
  <c r="M4" i="12" s="1"/>
  <c r="M5" i="8"/>
  <c r="L5" i="8"/>
  <c r="K5" i="8"/>
  <c r="J4" i="12" s="1"/>
  <c r="J5" i="8"/>
  <c r="I4" i="12" s="1"/>
  <c r="I5" i="8"/>
  <c r="H4" i="12" s="1"/>
  <c r="H5" i="8"/>
  <c r="T5" i="8" s="1"/>
  <c r="T4" i="8"/>
  <c r="S4" i="8"/>
  <c r="R3" i="12" s="1"/>
  <c r="R4" i="8"/>
  <c r="Q3" i="12" s="1"/>
  <c r="Q4" i="8"/>
  <c r="P3" i="12" s="1"/>
  <c r="P4" i="8"/>
  <c r="O3" i="12" s="1"/>
  <c r="O4" i="8"/>
  <c r="N4" i="8"/>
  <c r="M4" i="8"/>
  <c r="L3" i="12" s="1"/>
  <c r="L4" i="8"/>
  <c r="K4" i="8"/>
  <c r="J4" i="8"/>
  <c r="I4" i="8"/>
  <c r="H3" i="12" s="1"/>
  <c r="H4" i="8"/>
  <c r="G3" i="12" s="1"/>
  <c r="G4" i="8"/>
  <c r="F3" i="12" s="1"/>
  <c r="T3" i="8"/>
  <c r="G3" i="8" s="1"/>
  <c r="S3" i="8"/>
  <c r="R2" i="12" s="1"/>
  <c r="R3" i="8"/>
  <c r="Q2" i="12" s="1"/>
  <c r="Q3" i="8"/>
  <c r="P3" i="8"/>
  <c r="O3" i="8"/>
  <c r="N3" i="8"/>
  <c r="M3" i="8"/>
  <c r="L2" i="12" s="1"/>
  <c r="L3" i="8"/>
  <c r="K3" i="8"/>
  <c r="J2" i="12" s="1"/>
  <c r="J3" i="8"/>
  <c r="I2" i="12" s="1"/>
  <c r="I3" i="8"/>
  <c r="H3" i="8"/>
  <c r="G2" i="12" s="1"/>
  <c r="S13" i="7"/>
  <c r="R12" i="11" s="1"/>
  <c r="R13" i="7"/>
  <c r="Q12" i="11" s="1"/>
  <c r="Q13" i="7"/>
  <c r="P13" i="7"/>
  <c r="O12" i="11" s="1"/>
  <c r="O13" i="7"/>
  <c r="N13" i="7"/>
  <c r="M13" i="7"/>
  <c r="L12" i="11" s="1"/>
  <c r="L13" i="7"/>
  <c r="K12" i="11" s="1"/>
  <c r="K13" i="7"/>
  <c r="J12" i="11" s="1"/>
  <c r="J13" i="7"/>
  <c r="I12" i="11" s="1"/>
  <c r="I13" i="7"/>
  <c r="H12" i="11" s="1"/>
  <c r="H13" i="7"/>
  <c r="T13" i="7" s="1"/>
  <c r="S12" i="7"/>
  <c r="R11" i="11" s="1"/>
  <c r="R12" i="7"/>
  <c r="Q11" i="11" s="1"/>
  <c r="Q12" i="7"/>
  <c r="P11" i="11" s="1"/>
  <c r="P12" i="7"/>
  <c r="O12" i="7"/>
  <c r="N11" i="11" s="1"/>
  <c r="N12" i="7"/>
  <c r="M11" i="11" s="1"/>
  <c r="M12" i="7"/>
  <c r="L11" i="11" s="1"/>
  <c r="L12" i="7"/>
  <c r="K11" i="11" s="1"/>
  <c r="K12" i="7"/>
  <c r="J11" i="11" s="1"/>
  <c r="J12" i="7"/>
  <c r="I11" i="11" s="1"/>
  <c r="I12" i="7"/>
  <c r="H11" i="11" s="1"/>
  <c r="H12" i="7"/>
  <c r="T12" i="7" s="1"/>
  <c r="T11" i="7"/>
  <c r="G11" i="7" s="1"/>
  <c r="S11" i="7"/>
  <c r="R11" i="7"/>
  <c r="Q11" i="7"/>
  <c r="P10" i="11" s="1"/>
  <c r="P11" i="7"/>
  <c r="O10" i="11" s="1"/>
  <c r="O11" i="7"/>
  <c r="N10" i="11" s="1"/>
  <c r="N11" i="7"/>
  <c r="M10" i="11" s="1"/>
  <c r="M11" i="7"/>
  <c r="L11" i="7"/>
  <c r="K11" i="7"/>
  <c r="J10" i="11" s="1"/>
  <c r="J11" i="7"/>
  <c r="I10" i="11" s="1"/>
  <c r="I11" i="7"/>
  <c r="H10" i="11" s="1"/>
  <c r="H11" i="7"/>
  <c r="G10" i="11" s="1"/>
  <c r="S10" i="7"/>
  <c r="R9" i="11" s="1"/>
  <c r="R10" i="7"/>
  <c r="Q9" i="11" s="1"/>
  <c r="Q10" i="7"/>
  <c r="P10" i="7"/>
  <c r="O9" i="11" s="1"/>
  <c r="O10" i="7"/>
  <c r="N10" i="7"/>
  <c r="M10" i="7"/>
  <c r="L9" i="11" s="1"/>
  <c r="L10" i="7"/>
  <c r="K9" i="11" s="1"/>
  <c r="K10" i="7"/>
  <c r="J9" i="11" s="1"/>
  <c r="J10" i="7"/>
  <c r="I9" i="11" s="1"/>
  <c r="I10" i="7"/>
  <c r="H10" i="7"/>
  <c r="T10" i="7" s="1"/>
  <c r="T9" i="7"/>
  <c r="S8" i="11" s="1"/>
  <c r="S9" i="7"/>
  <c r="R8" i="11" s="1"/>
  <c r="R9" i="7"/>
  <c r="Q8" i="11" s="1"/>
  <c r="Q9" i="7"/>
  <c r="P8" i="11" s="1"/>
  <c r="P9" i="7"/>
  <c r="O8" i="11" s="1"/>
  <c r="O9" i="7"/>
  <c r="N9" i="7"/>
  <c r="M8" i="11" s="1"/>
  <c r="M9" i="7"/>
  <c r="L8" i="11" s="1"/>
  <c r="L9" i="7"/>
  <c r="K8" i="11" s="1"/>
  <c r="K9" i="7"/>
  <c r="J8" i="11" s="1"/>
  <c r="J9" i="7"/>
  <c r="I8" i="11" s="1"/>
  <c r="I9" i="7"/>
  <c r="H9" i="7"/>
  <c r="G8" i="11" s="1"/>
  <c r="S8" i="7"/>
  <c r="R7" i="11" s="1"/>
  <c r="R8" i="7"/>
  <c r="Q7" i="11" s="1"/>
  <c r="Q8" i="7"/>
  <c r="P7" i="11" s="1"/>
  <c r="P8" i="7"/>
  <c r="O7" i="11" s="1"/>
  <c r="O8" i="7"/>
  <c r="N7" i="11" s="1"/>
  <c r="N8" i="7"/>
  <c r="M7" i="11" s="1"/>
  <c r="M8" i="7"/>
  <c r="L8" i="7"/>
  <c r="K8" i="7"/>
  <c r="J7" i="11" s="1"/>
  <c r="J8" i="7"/>
  <c r="I7" i="11" s="1"/>
  <c r="I8" i="7"/>
  <c r="H7" i="11" s="1"/>
  <c r="H8" i="7"/>
  <c r="T8" i="7" s="1"/>
  <c r="T7" i="7"/>
  <c r="S7" i="7"/>
  <c r="R6" i="11" s="1"/>
  <c r="R7" i="7"/>
  <c r="Q6" i="11" s="1"/>
  <c r="Q7" i="7"/>
  <c r="P6" i="11" s="1"/>
  <c r="P7" i="7"/>
  <c r="O6" i="11" s="1"/>
  <c r="O7" i="7"/>
  <c r="N6" i="11" s="1"/>
  <c r="N7" i="7"/>
  <c r="M7" i="7"/>
  <c r="L6" i="11" s="1"/>
  <c r="L7" i="7"/>
  <c r="K6" i="11" s="1"/>
  <c r="K7" i="7"/>
  <c r="J7" i="7"/>
  <c r="I7" i="7"/>
  <c r="H6" i="11" s="1"/>
  <c r="H7" i="7"/>
  <c r="G6" i="11" s="1"/>
  <c r="G7" i="7"/>
  <c r="F6" i="11" s="1"/>
  <c r="T6" i="7"/>
  <c r="G6" i="7" s="1"/>
  <c r="S6" i="7"/>
  <c r="R5" i="11" s="1"/>
  <c r="R6" i="7"/>
  <c r="Q5" i="11" s="1"/>
  <c r="Q6" i="7"/>
  <c r="P6" i="7"/>
  <c r="O6" i="7"/>
  <c r="N5" i="11" s="1"/>
  <c r="N6" i="7"/>
  <c r="M5" i="11" s="1"/>
  <c r="M6" i="7"/>
  <c r="L5" i="11" s="1"/>
  <c r="L6" i="7"/>
  <c r="K6" i="7"/>
  <c r="J5" i="11" s="1"/>
  <c r="J6" i="7"/>
  <c r="I5" i="11" s="1"/>
  <c r="I6" i="7"/>
  <c r="H6" i="7"/>
  <c r="G5" i="11" s="1"/>
  <c r="S5" i="7"/>
  <c r="R4" i="11" s="1"/>
  <c r="R5" i="7"/>
  <c r="Q4" i="11" s="1"/>
  <c r="Q5" i="7"/>
  <c r="P5" i="7"/>
  <c r="O4" i="11" s="1"/>
  <c r="O5" i="7"/>
  <c r="N5" i="7"/>
  <c r="M5" i="7"/>
  <c r="L4" i="11" s="1"/>
  <c r="L5" i="7"/>
  <c r="K4" i="11" s="1"/>
  <c r="K5" i="7"/>
  <c r="J4" i="11" s="1"/>
  <c r="J5" i="7"/>
  <c r="I4" i="11" s="1"/>
  <c r="I5" i="7"/>
  <c r="H4" i="11" s="1"/>
  <c r="H5" i="7"/>
  <c r="T5" i="7" s="1"/>
  <c r="S4" i="7"/>
  <c r="R3" i="11" s="1"/>
  <c r="R4" i="7"/>
  <c r="Q3" i="11" s="1"/>
  <c r="Q4" i="7"/>
  <c r="P3" i="11" s="1"/>
  <c r="P4" i="7"/>
  <c r="O3" i="11" s="1"/>
  <c r="O4" i="7"/>
  <c r="N3" i="11" s="1"/>
  <c r="N4" i="7"/>
  <c r="M3" i="11" s="1"/>
  <c r="M4" i="7"/>
  <c r="L3" i="11" s="1"/>
  <c r="L4" i="7"/>
  <c r="K3" i="11" s="1"/>
  <c r="K4" i="7"/>
  <c r="J3" i="11" s="1"/>
  <c r="J4" i="7"/>
  <c r="I3" i="11" s="1"/>
  <c r="I4" i="7"/>
  <c r="H3" i="11" s="1"/>
  <c r="H4" i="7"/>
  <c r="T4" i="7" s="1"/>
  <c r="T3" i="7"/>
  <c r="G3" i="7" s="1"/>
  <c r="S3" i="7"/>
  <c r="R3" i="7"/>
  <c r="Q3" i="7"/>
  <c r="P2" i="11" s="1"/>
  <c r="P3" i="7"/>
  <c r="O2" i="11" s="1"/>
  <c r="O3" i="7"/>
  <c r="N2" i="11" s="1"/>
  <c r="N3" i="7"/>
  <c r="M2" i="11" s="1"/>
  <c r="M3" i="7"/>
  <c r="L3" i="7"/>
  <c r="K3" i="7"/>
  <c r="J2" i="11" s="1"/>
  <c r="J3" i="7"/>
  <c r="I2" i="11" s="1"/>
  <c r="I3" i="7"/>
  <c r="H2" i="11" s="1"/>
  <c r="H3" i="7"/>
  <c r="G2" i="11" s="1"/>
  <c r="U43" i="3"/>
  <c r="T43" i="3"/>
  <c r="S43" i="3"/>
  <c r="R43" i="3"/>
  <c r="Q43" i="3"/>
  <c r="O43" i="3"/>
  <c r="N43" i="3"/>
  <c r="L43" i="3"/>
  <c r="K43" i="3"/>
  <c r="J43" i="3"/>
  <c r="I43" i="3"/>
  <c r="H43" i="3"/>
  <c r="G43" i="3"/>
  <c r="F43" i="3"/>
  <c r="E43" i="3"/>
  <c r="D43" i="3"/>
  <c r="U42" i="3"/>
  <c r="T42" i="3"/>
  <c r="S42" i="3"/>
  <c r="Q42" i="3"/>
  <c r="P42" i="3"/>
  <c r="N42" i="3"/>
  <c r="M42" i="3"/>
  <c r="L42" i="3"/>
  <c r="K42" i="3"/>
  <c r="J42" i="3"/>
  <c r="I42" i="3"/>
  <c r="H42" i="3"/>
  <c r="G42" i="3"/>
  <c r="F42" i="3"/>
  <c r="E42" i="3"/>
  <c r="D42" i="3"/>
  <c r="U41" i="3"/>
  <c r="S41" i="3"/>
  <c r="R41" i="3"/>
  <c r="P41" i="3"/>
  <c r="O41" i="3"/>
  <c r="N41" i="3"/>
  <c r="M41" i="3"/>
  <c r="L41" i="3"/>
  <c r="K41" i="3"/>
  <c r="J41" i="3"/>
  <c r="I41" i="3"/>
  <c r="H41" i="3"/>
  <c r="G41" i="3"/>
  <c r="F41" i="3"/>
  <c r="E41" i="3"/>
  <c r="D41" i="3"/>
  <c r="U40" i="3"/>
  <c r="T40" i="3"/>
  <c r="R40" i="3"/>
  <c r="Q40" i="3"/>
  <c r="P40" i="3"/>
  <c r="O40" i="3"/>
  <c r="N40" i="3"/>
  <c r="M40" i="3"/>
  <c r="L40" i="3"/>
  <c r="K40" i="3"/>
  <c r="J40" i="3"/>
  <c r="I40" i="3"/>
  <c r="H40" i="3"/>
  <c r="G40" i="3"/>
  <c r="E40" i="3"/>
  <c r="D40" i="3"/>
  <c r="T39" i="3"/>
  <c r="S39" i="3"/>
  <c r="R39" i="3"/>
  <c r="Q39" i="3"/>
  <c r="P39" i="3"/>
  <c r="O39" i="3"/>
  <c r="N39" i="3"/>
  <c r="M39" i="3"/>
  <c r="L39" i="3"/>
  <c r="K39" i="3"/>
  <c r="J39" i="3"/>
  <c r="I39" i="3"/>
  <c r="G39" i="3"/>
  <c r="F39" i="3"/>
  <c r="E39" i="3"/>
  <c r="U38" i="3"/>
  <c r="T38" i="3"/>
  <c r="S38" i="3"/>
  <c r="R38" i="3"/>
  <c r="Q38" i="3"/>
  <c r="P38" i="3"/>
  <c r="O38" i="3"/>
  <c r="N38" i="3"/>
  <c r="M38" i="3"/>
  <c r="L38" i="3"/>
  <c r="K38" i="3"/>
  <c r="I38" i="3"/>
  <c r="H38" i="3"/>
  <c r="F38" i="3"/>
  <c r="E38" i="3"/>
  <c r="D38" i="3"/>
  <c r="U37" i="3"/>
  <c r="T37" i="3"/>
  <c r="S37" i="3"/>
  <c r="R37" i="3"/>
  <c r="Q37" i="3"/>
  <c r="P37" i="3"/>
  <c r="O37" i="3"/>
  <c r="N37" i="3"/>
  <c r="M37" i="3"/>
  <c r="K37" i="3"/>
  <c r="J37" i="3"/>
  <c r="H37" i="3"/>
  <c r="G37" i="3"/>
  <c r="F37" i="3"/>
  <c r="E37" i="3"/>
  <c r="D37" i="3"/>
  <c r="U36" i="3"/>
  <c r="T36" i="3"/>
  <c r="S36" i="3"/>
  <c r="R36" i="3"/>
  <c r="Q36" i="3"/>
  <c r="P36" i="3"/>
  <c r="O36" i="3"/>
  <c r="M36" i="3"/>
  <c r="L36" i="3"/>
  <c r="J36" i="3"/>
  <c r="I36" i="3"/>
  <c r="H36" i="3"/>
  <c r="G36" i="3"/>
  <c r="F36" i="3"/>
  <c r="E36" i="3"/>
  <c r="D36" i="3"/>
  <c r="U35" i="3"/>
  <c r="T35" i="3"/>
  <c r="S35" i="3"/>
  <c r="R35" i="3"/>
  <c r="Q35" i="3"/>
  <c r="O35" i="3"/>
  <c r="N35" i="3"/>
  <c r="L35" i="3"/>
  <c r="K35" i="3"/>
  <c r="J35" i="3"/>
  <c r="I35" i="3"/>
  <c r="H35" i="3"/>
  <c r="G35" i="3"/>
  <c r="F35" i="3"/>
  <c r="E35" i="3"/>
  <c r="D35" i="3"/>
  <c r="U34" i="3"/>
  <c r="T34" i="3"/>
  <c r="S34" i="3"/>
  <c r="Q34" i="3"/>
  <c r="P34" i="3"/>
  <c r="N34" i="3"/>
  <c r="M34" i="3"/>
  <c r="L34" i="3"/>
  <c r="K34" i="3"/>
  <c r="J34" i="3"/>
  <c r="I34" i="3"/>
  <c r="H34" i="3"/>
  <c r="G34" i="3"/>
  <c r="F34" i="3"/>
  <c r="E34" i="3"/>
  <c r="D34" i="3"/>
  <c r="U33" i="3"/>
  <c r="S33" i="3"/>
  <c r="R33" i="3"/>
  <c r="P33" i="3"/>
  <c r="O33" i="3"/>
  <c r="N33" i="3"/>
  <c r="M33" i="3"/>
  <c r="L33" i="3"/>
  <c r="K33" i="3"/>
  <c r="J33" i="3"/>
  <c r="I33" i="3"/>
  <c r="H33" i="3"/>
  <c r="G33" i="3"/>
  <c r="F33" i="3"/>
  <c r="E33" i="3"/>
  <c r="D33" i="3"/>
  <c r="U32" i="3"/>
  <c r="T32" i="3"/>
  <c r="R32" i="3"/>
  <c r="Q32" i="3"/>
  <c r="P32" i="3"/>
  <c r="O32" i="3"/>
  <c r="N32" i="3"/>
  <c r="M32" i="3"/>
  <c r="L32" i="3"/>
  <c r="K32" i="3"/>
  <c r="J32" i="3"/>
  <c r="I32" i="3"/>
  <c r="H32" i="3"/>
  <c r="G32" i="3"/>
  <c r="E32" i="3"/>
  <c r="D32" i="3"/>
  <c r="T31" i="3"/>
  <c r="S31" i="3"/>
  <c r="R31" i="3"/>
  <c r="Q31" i="3"/>
  <c r="P31" i="3"/>
  <c r="O31" i="3"/>
  <c r="N31" i="3"/>
  <c r="M31" i="3"/>
  <c r="L31" i="3"/>
  <c r="K31" i="3"/>
  <c r="J31" i="3"/>
  <c r="I31" i="3"/>
  <c r="G31" i="3"/>
  <c r="F31" i="3"/>
  <c r="E31" i="3"/>
  <c r="U30" i="3"/>
  <c r="T30" i="3"/>
  <c r="S30" i="3"/>
  <c r="R30" i="3"/>
  <c r="Q30" i="3"/>
  <c r="P30" i="3"/>
  <c r="O30" i="3"/>
  <c r="N30" i="3"/>
  <c r="M30" i="3"/>
  <c r="L30" i="3"/>
  <c r="K30" i="3"/>
  <c r="I30" i="3"/>
  <c r="H30" i="3"/>
  <c r="F30" i="3"/>
  <c r="E30" i="3"/>
  <c r="D30" i="3"/>
  <c r="U29" i="3"/>
  <c r="T29" i="3"/>
  <c r="S29" i="3"/>
  <c r="R29" i="3"/>
  <c r="Q29" i="3"/>
  <c r="P29" i="3"/>
  <c r="O29" i="3"/>
  <c r="N29" i="3"/>
  <c r="M29" i="3"/>
  <c r="K29" i="3"/>
  <c r="J29" i="3"/>
  <c r="H29" i="3"/>
  <c r="G29" i="3"/>
  <c r="F29" i="3"/>
  <c r="E29" i="3"/>
  <c r="D29" i="3"/>
  <c r="U28" i="3"/>
  <c r="T28" i="3"/>
  <c r="S28" i="3"/>
  <c r="R28" i="3"/>
  <c r="Q28" i="3"/>
  <c r="P28" i="3"/>
  <c r="O28" i="3"/>
  <c r="M28" i="3"/>
  <c r="L28" i="3"/>
  <c r="J28" i="3"/>
  <c r="I28" i="3"/>
  <c r="H28" i="3"/>
  <c r="G28" i="3"/>
  <c r="F28" i="3"/>
  <c r="E28" i="3"/>
  <c r="D28" i="3"/>
  <c r="U27" i="3"/>
  <c r="T27" i="3"/>
  <c r="S27" i="3"/>
  <c r="R27" i="3"/>
  <c r="Q27" i="3"/>
  <c r="O27" i="3"/>
  <c r="N27" i="3"/>
  <c r="L27" i="3"/>
  <c r="K27" i="3"/>
  <c r="J27" i="3"/>
  <c r="I27" i="3"/>
  <c r="H27" i="3"/>
  <c r="G27" i="3"/>
  <c r="F27" i="3"/>
  <c r="E27" i="3"/>
  <c r="D27" i="3"/>
  <c r="U26" i="3"/>
  <c r="T26" i="3"/>
  <c r="S26" i="3"/>
  <c r="Q26" i="3"/>
  <c r="P26" i="3"/>
  <c r="N26" i="3"/>
  <c r="M26" i="3"/>
  <c r="L26" i="3"/>
  <c r="K26" i="3"/>
  <c r="J26" i="3"/>
  <c r="I26" i="3"/>
  <c r="H26" i="3"/>
  <c r="G26" i="3"/>
  <c r="F26" i="3"/>
  <c r="E26" i="3"/>
  <c r="D26" i="3"/>
  <c r="U25" i="3"/>
  <c r="S25" i="3"/>
  <c r="R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U24" i="3"/>
  <c r="T24" i="3"/>
  <c r="R24" i="3"/>
  <c r="Q24" i="3"/>
  <c r="P24" i="3"/>
  <c r="O24" i="3"/>
  <c r="N24" i="3"/>
  <c r="M24" i="3"/>
  <c r="L24" i="3"/>
  <c r="K24" i="3"/>
  <c r="J24" i="3"/>
  <c r="I24" i="3"/>
  <c r="H24" i="3"/>
  <c r="G24" i="3"/>
  <c r="E24" i="3"/>
  <c r="D24" i="3"/>
  <c r="T23" i="3"/>
  <c r="S23" i="3"/>
  <c r="R23" i="3"/>
  <c r="Q23" i="3"/>
  <c r="P23" i="3"/>
  <c r="O23" i="3"/>
  <c r="N23" i="3"/>
  <c r="M23" i="3"/>
  <c r="L23" i="3"/>
  <c r="K23" i="3"/>
  <c r="J23" i="3"/>
  <c r="I23" i="3"/>
  <c r="G23" i="3"/>
  <c r="F23" i="3"/>
  <c r="E23" i="3"/>
  <c r="U22" i="3"/>
  <c r="T22" i="3"/>
  <c r="S22" i="3"/>
  <c r="R22" i="3"/>
  <c r="Q22" i="3"/>
  <c r="P22" i="3"/>
  <c r="O22" i="3"/>
  <c r="N22" i="3"/>
  <c r="M22" i="3"/>
  <c r="L22" i="3"/>
  <c r="K22" i="3"/>
  <c r="I22" i="3"/>
  <c r="H22" i="3"/>
  <c r="F22" i="3"/>
  <c r="E22" i="3"/>
  <c r="D22" i="3"/>
  <c r="U21" i="3"/>
  <c r="T21" i="3"/>
  <c r="S21" i="3"/>
  <c r="R21" i="3"/>
  <c r="Q21" i="3"/>
  <c r="P21" i="3"/>
  <c r="O21" i="3"/>
  <c r="N21" i="3"/>
  <c r="M21" i="3"/>
  <c r="K21" i="3"/>
  <c r="J21" i="3"/>
  <c r="H21" i="3"/>
  <c r="G21" i="3"/>
  <c r="F21" i="3"/>
  <c r="E21" i="3"/>
  <c r="D21" i="3"/>
  <c r="U20" i="3"/>
  <c r="T20" i="3"/>
  <c r="S20" i="3"/>
  <c r="R20" i="3"/>
  <c r="Q20" i="3"/>
  <c r="P20" i="3"/>
  <c r="O20" i="3"/>
  <c r="M20" i="3"/>
  <c r="L20" i="3"/>
  <c r="J20" i="3"/>
  <c r="I20" i="3"/>
  <c r="H20" i="3"/>
  <c r="G20" i="3"/>
  <c r="F20" i="3"/>
  <c r="E20" i="3"/>
  <c r="D20" i="3"/>
  <c r="U19" i="3"/>
  <c r="T19" i="3"/>
  <c r="S19" i="3"/>
  <c r="R19" i="3"/>
  <c r="Q19" i="3"/>
  <c r="O19" i="3"/>
  <c r="N19" i="3"/>
  <c r="L19" i="3"/>
  <c r="K19" i="3"/>
  <c r="J19" i="3"/>
  <c r="I19" i="3"/>
  <c r="H19" i="3"/>
  <c r="G19" i="3"/>
  <c r="F19" i="3"/>
  <c r="E19" i="3"/>
  <c r="D19" i="3"/>
  <c r="U18" i="3"/>
  <c r="T18" i="3"/>
  <c r="S18" i="3"/>
  <c r="Q18" i="3"/>
  <c r="P18" i="3"/>
  <c r="N18" i="3"/>
  <c r="M18" i="3"/>
  <c r="L18" i="3"/>
  <c r="K18" i="3"/>
  <c r="J18" i="3"/>
  <c r="I18" i="3"/>
  <c r="H18" i="3"/>
  <c r="G18" i="3"/>
  <c r="F18" i="3"/>
  <c r="E18" i="3"/>
  <c r="D18" i="3"/>
  <c r="U17" i="3"/>
  <c r="S17" i="3"/>
  <c r="R17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U16" i="3"/>
  <c r="T16" i="3"/>
  <c r="R16" i="3"/>
  <c r="Q16" i="3"/>
  <c r="P16" i="3"/>
  <c r="O16" i="3"/>
  <c r="N16" i="3"/>
  <c r="M16" i="3"/>
  <c r="L16" i="3"/>
  <c r="K16" i="3"/>
  <c r="J16" i="3"/>
  <c r="I16" i="3"/>
  <c r="H16" i="3"/>
  <c r="G16" i="3"/>
  <c r="E16" i="3"/>
  <c r="D16" i="3"/>
  <c r="T15" i="3"/>
  <c r="S15" i="3"/>
  <c r="R15" i="3"/>
  <c r="Q15" i="3"/>
  <c r="P15" i="3"/>
  <c r="O15" i="3"/>
  <c r="N15" i="3"/>
  <c r="M15" i="3"/>
  <c r="L15" i="3"/>
  <c r="K15" i="3"/>
  <c r="J15" i="3"/>
  <c r="I15" i="3"/>
  <c r="G15" i="3"/>
  <c r="F15" i="3"/>
  <c r="E15" i="3"/>
  <c r="U14" i="3"/>
  <c r="T14" i="3"/>
  <c r="S14" i="3"/>
  <c r="R14" i="3"/>
  <c r="Q14" i="3"/>
  <c r="P14" i="3"/>
  <c r="O14" i="3"/>
  <c r="N14" i="3"/>
  <c r="M14" i="3"/>
  <c r="L14" i="3"/>
  <c r="K14" i="3"/>
  <c r="I14" i="3"/>
  <c r="H14" i="3"/>
  <c r="F14" i="3"/>
  <c r="E14" i="3"/>
  <c r="D14" i="3"/>
  <c r="T13" i="3"/>
  <c r="S13" i="3"/>
  <c r="R13" i="3"/>
  <c r="Q13" i="3"/>
  <c r="P13" i="3"/>
  <c r="O13" i="3"/>
  <c r="N13" i="3"/>
  <c r="M13" i="3"/>
  <c r="L13" i="3"/>
  <c r="K13" i="3"/>
  <c r="J13" i="3"/>
  <c r="I13" i="3"/>
  <c r="G13" i="3"/>
  <c r="F13" i="3"/>
  <c r="E13" i="3"/>
  <c r="D13" i="3"/>
  <c r="T12" i="3"/>
  <c r="R12" i="3"/>
  <c r="Q12" i="3"/>
  <c r="O12" i="3"/>
  <c r="N12" i="3"/>
  <c r="L12" i="3"/>
  <c r="K12" i="3"/>
  <c r="J12" i="3"/>
  <c r="I12" i="3"/>
  <c r="G12" i="3"/>
  <c r="F12" i="3"/>
  <c r="E12" i="3"/>
  <c r="D12" i="3"/>
  <c r="T11" i="3"/>
  <c r="S11" i="3"/>
  <c r="P11" i="3"/>
  <c r="O11" i="3"/>
  <c r="N11" i="3"/>
  <c r="M11" i="3"/>
  <c r="J11" i="3"/>
  <c r="I11" i="3"/>
  <c r="G11" i="3"/>
  <c r="F11" i="3"/>
  <c r="E11" i="3"/>
  <c r="D11" i="3"/>
  <c r="R10" i="3"/>
  <c r="Q10" i="3"/>
  <c r="P10" i="3"/>
  <c r="O10" i="3"/>
  <c r="N10" i="3"/>
  <c r="M10" i="3"/>
  <c r="L10" i="3"/>
  <c r="K10" i="3"/>
  <c r="J10" i="3"/>
  <c r="I10" i="3"/>
  <c r="G10" i="3"/>
  <c r="F10" i="3"/>
  <c r="E10" i="3"/>
  <c r="D10" i="3"/>
  <c r="T9" i="3"/>
  <c r="S9" i="3"/>
  <c r="R9" i="3"/>
  <c r="Q9" i="3"/>
  <c r="O9" i="3"/>
  <c r="N9" i="3"/>
  <c r="L9" i="3"/>
  <c r="K9" i="3"/>
  <c r="J9" i="3"/>
  <c r="I9" i="3"/>
  <c r="G9" i="3"/>
  <c r="F9" i="3"/>
  <c r="E9" i="3"/>
  <c r="D9" i="3"/>
  <c r="T8" i="3"/>
  <c r="S8" i="3"/>
  <c r="R8" i="3"/>
  <c r="Q8" i="3"/>
  <c r="N8" i="3"/>
  <c r="M8" i="3"/>
  <c r="L8" i="3"/>
  <c r="J8" i="3"/>
  <c r="I8" i="3"/>
  <c r="G8" i="3"/>
  <c r="F8" i="3"/>
  <c r="E8" i="3"/>
  <c r="D8" i="3"/>
  <c r="R7" i="3"/>
  <c r="Q7" i="3"/>
  <c r="P7" i="3"/>
  <c r="O7" i="3"/>
  <c r="N7" i="3"/>
  <c r="L7" i="3"/>
  <c r="K7" i="3"/>
  <c r="G7" i="3"/>
  <c r="F7" i="3"/>
  <c r="E7" i="3"/>
  <c r="D7" i="3"/>
  <c r="T6" i="3"/>
  <c r="S6" i="3"/>
  <c r="R6" i="3"/>
  <c r="Q6" i="3"/>
  <c r="P6" i="3"/>
  <c r="O6" i="3"/>
  <c r="N6" i="3"/>
  <c r="M6" i="3"/>
  <c r="J6" i="3"/>
  <c r="I6" i="3"/>
  <c r="G6" i="3"/>
  <c r="F6" i="3"/>
  <c r="E6" i="3"/>
  <c r="D6" i="3"/>
  <c r="T5" i="3"/>
  <c r="S5" i="3"/>
  <c r="R5" i="3"/>
  <c r="Q5" i="3"/>
  <c r="P5" i="3"/>
  <c r="O5" i="3"/>
  <c r="N5" i="3"/>
  <c r="M5" i="3"/>
  <c r="L5" i="3"/>
  <c r="K5" i="3"/>
  <c r="J5" i="3"/>
  <c r="I5" i="3"/>
  <c r="G5" i="3"/>
  <c r="F5" i="3"/>
  <c r="E5" i="3"/>
  <c r="D5" i="3"/>
  <c r="T4" i="3"/>
  <c r="R4" i="3"/>
  <c r="Q4" i="3"/>
  <c r="O4" i="3"/>
  <c r="L4" i="3"/>
  <c r="K4" i="3"/>
  <c r="J4" i="3"/>
  <c r="I4" i="3"/>
  <c r="G4" i="3"/>
  <c r="F4" i="3"/>
  <c r="E4" i="3"/>
  <c r="D4" i="3"/>
  <c r="T3" i="3"/>
  <c r="S3" i="3"/>
  <c r="P3" i="3"/>
  <c r="O3" i="3"/>
  <c r="N3" i="3"/>
  <c r="M3" i="3"/>
  <c r="J3" i="3"/>
  <c r="I3" i="3"/>
  <c r="G3" i="3"/>
  <c r="F3" i="3"/>
  <c r="E3" i="3"/>
  <c r="D3" i="3"/>
  <c r="G13" i="2"/>
  <c r="F13" i="2"/>
  <c r="E13" i="2"/>
  <c r="D13" i="2"/>
  <c r="U12" i="2"/>
  <c r="G12" i="2"/>
  <c r="F12" i="2"/>
  <c r="E12" i="2"/>
  <c r="D12" i="2"/>
  <c r="G11" i="2"/>
  <c r="F11" i="2"/>
  <c r="E11" i="2"/>
  <c r="D11" i="2"/>
  <c r="G10" i="2"/>
  <c r="F10" i="2"/>
  <c r="E10" i="2"/>
  <c r="D10" i="2"/>
  <c r="G9" i="2"/>
  <c r="F9" i="2"/>
  <c r="E9" i="2"/>
  <c r="D9" i="2"/>
  <c r="G8" i="2"/>
  <c r="F8" i="2"/>
  <c r="E8" i="2"/>
  <c r="D8" i="2"/>
  <c r="G7" i="2"/>
  <c r="F7" i="2"/>
  <c r="E7" i="2"/>
  <c r="D7" i="2"/>
  <c r="G6" i="2"/>
  <c r="F6" i="2"/>
  <c r="E6" i="2"/>
  <c r="D6" i="2"/>
  <c r="G5" i="2"/>
  <c r="F5" i="2"/>
  <c r="E5" i="2"/>
  <c r="D5" i="2"/>
  <c r="U4" i="2"/>
  <c r="G4" i="2"/>
  <c r="F4" i="2"/>
  <c r="E4" i="2"/>
  <c r="D4" i="2"/>
  <c r="G3" i="2"/>
  <c r="F3" i="2"/>
  <c r="E3" i="2"/>
  <c r="D3" i="2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U406" i="1"/>
  <c r="T406" i="1"/>
  <c r="S406" i="1"/>
  <c r="R406" i="1"/>
  <c r="Q406" i="1"/>
  <c r="P406" i="1"/>
  <c r="O406" i="1"/>
  <c r="N406" i="1"/>
  <c r="M406" i="1"/>
  <c r="L406" i="1"/>
  <c r="J406" i="1"/>
  <c r="I406" i="1"/>
  <c r="H406" i="1"/>
  <c r="G406" i="1"/>
  <c r="F406" i="1"/>
  <c r="E406" i="1"/>
  <c r="D406" i="1"/>
  <c r="U405" i="1"/>
  <c r="T405" i="1"/>
  <c r="S405" i="1"/>
  <c r="R405" i="1"/>
  <c r="Q405" i="1"/>
  <c r="P405" i="1"/>
  <c r="O405" i="1"/>
  <c r="N405" i="1"/>
  <c r="L405" i="1"/>
  <c r="K405" i="1"/>
  <c r="J405" i="1"/>
  <c r="I405" i="1"/>
  <c r="H405" i="1"/>
  <c r="G405" i="1"/>
  <c r="F405" i="1"/>
  <c r="E405" i="1"/>
  <c r="D405" i="1"/>
  <c r="U404" i="1"/>
  <c r="T404" i="1"/>
  <c r="S404" i="1"/>
  <c r="R404" i="1"/>
  <c r="Q404" i="1"/>
  <c r="P404" i="1"/>
  <c r="N404" i="1"/>
  <c r="M404" i="1"/>
  <c r="L404" i="1"/>
  <c r="K404" i="1"/>
  <c r="J404" i="1"/>
  <c r="I404" i="1"/>
  <c r="H404" i="1"/>
  <c r="G404" i="1"/>
  <c r="F404" i="1"/>
  <c r="E404" i="1"/>
  <c r="D404" i="1"/>
  <c r="U403" i="1"/>
  <c r="T403" i="1"/>
  <c r="S403" i="1"/>
  <c r="R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U402" i="1"/>
  <c r="T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F400" i="1"/>
  <c r="E400" i="1"/>
  <c r="D400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H399" i="1"/>
  <c r="G399" i="1"/>
  <c r="F399" i="1"/>
  <c r="E399" i="1"/>
  <c r="D399" i="1"/>
  <c r="U398" i="1"/>
  <c r="T398" i="1"/>
  <c r="S398" i="1"/>
  <c r="R398" i="1"/>
  <c r="Q398" i="1"/>
  <c r="P398" i="1"/>
  <c r="O398" i="1"/>
  <c r="N398" i="1"/>
  <c r="M398" i="1"/>
  <c r="L398" i="1"/>
  <c r="J398" i="1"/>
  <c r="I398" i="1"/>
  <c r="H398" i="1"/>
  <c r="G398" i="1"/>
  <c r="F398" i="1"/>
  <c r="E398" i="1"/>
  <c r="D398" i="1"/>
  <c r="U397" i="1"/>
  <c r="T397" i="1"/>
  <c r="S397" i="1"/>
  <c r="R397" i="1"/>
  <c r="Q397" i="1"/>
  <c r="P397" i="1"/>
  <c r="O397" i="1"/>
  <c r="N397" i="1"/>
  <c r="L397" i="1"/>
  <c r="K397" i="1"/>
  <c r="J397" i="1"/>
  <c r="I397" i="1"/>
  <c r="H397" i="1"/>
  <c r="G397" i="1"/>
  <c r="F397" i="1"/>
  <c r="E397" i="1"/>
  <c r="D397" i="1"/>
  <c r="U396" i="1"/>
  <c r="T396" i="1"/>
  <c r="S396" i="1"/>
  <c r="R396" i="1"/>
  <c r="Q396" i="1"/>
  <c r="P396" i="1"/>
  <c r="N396" i="1"/>
  <c r="M396" i="1"/>
  <c r="L396" i="1"/>
  <c r="K396" i="1"/>
  <c r="J396" i="1"/>
  <c r="I396" i="1"/>
  <c r="H396" i="1"/>
  <c r="G396" i="1"/>
  <c r="F396" i="1"/>
  <c r="E396" i="1"/>
  <c r="D396" i="1"/>
  <c r="U395" i="1"/>
  <c r="T395" i="1"/>
  <c r="S395" i="1"/>
  <c r="R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U394" i="1"/>
  <c r="T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F392" i="1"/>
  <c r="E392" i="1"/>
  <c r="D392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H391" i="1"/>
  <c r="G391" i="1"/>
  <c r="F391" i="1"/>
  <c r="E391" i="1"/>
  <c r="D391" i="1"/>
  <c r="U390" i="1"/>
  <c r="T390" i="1"/>
  <c r="S390" i="1"/>
  <c r="R390" i="1"/>
  <c r="Q390" i="1"/>
  <c r="P390" i="1"/>
  <c r="O390" i="1"/>
  <c r="N390" i="1"/>
  <c r="M390" i="1"/>
  <c r="L390" i="1"/>
  <c r="J390" i="1"/>
  <c r="I390" i="1"/>
  <c r="H390" i="1"/>
  <c r="G390" i="1"/>
  <c r="F390" i="1"/>
  <c r="E390" i="1"/>
  <c r="D390" i="1"/>
  <c r="U389" i="1"/>
  <c r="T389" i="1"/>
  <c r="S389" i="1"/>
  <c r="R389" i="1"/>
  <c r="Q389" i="1"/>
  <c r="P389" i="1"/>
  <c r="O389" i="1"/>
  <c r="N389" i="1"/>
  <c r="L389" i="1"/>
  <c r="K389" i="1"/>
  <c r="J389" i="1"/>
  <c r="I389" i="1"/>
  <c r="H389" i="1"/>
  <c r="G389" i="1"/>
  <c r="F389" i="1"/>
  <c r="E389" i="1"/>
  <c r="D389" i="1"/>
  <c r="U388" i="1"/>
  <c r="T388" i="1"/>
  <c r="S388" i="1"/>
  <c r="R388" i="1"/>
  <c r="Q388" i="1"/>
  <c r="P388" i="1"/>
  <c r="N388" i="1"/>
  <c r="M388" i="1"/>
  <c r="L388" i="1"/>
  <c r="K388" i="1"/>
  <c r="J388" i="1"/>
  <c r="I388" i="1"/>
  <c r="H388" i="1"/>
  <c r="G388" i="1"/>
  <c r="F388" i="1"/>
  <c r="E388" i="1"/>
  <c r="D388" i="1"/>
  <c r="U387" i="1"/>
  <c r="T387" i="1"/>
  <c r="S387" i="1"/>
  <c r="R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U386" i="1"/>
  <c r="T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U384" i="1"/>
  <c r="T384" i="1"/>
  <c r="S384" i="1"/>
  <c r="R384" i="1"/>
  <c r="Q384" i="1"/>
  <c r="P384" i="1"/>
  <c r="O384" i="1"/>
  <c r="N384" i="1"/>
  <c r="M384" i="1"/>
  <c r="L384" i="1"/>
  <c r="K384" i="1"/>
  <c r="J384" i="1"/>
  <c r="I384" i="1"/>
  <c r="H384" i="1"/>
  <c r="F384" i="1"/>
  <c r="E384" i="1"/>
  <c r="D384" i="1"/>
  <c r="U383" i="1"/>
  <c r="T383" i="1"/>
  <c r="S383" i="1"/>
  <c r="R383" i="1"/>
  <c r="Q383" i="1"/>
  <c r="P383" i="1"/>
  <c r="O383" i="1"/>
  <c r="N383" i="1"/>
  <c r="M383" i="1"/>
  <c r="L383" i="1"/>
  <c r="K383" i="1"/>
  <c r="J383" i="1"/>
  <c r="H383" i="1"/>
  <c r="G383" i="1"/>
  <c r="F383" i="1"/>
  <c r="E383" i="1"/>
  <c r="D383" i="1"/>
  <c r="U382" i="1"/>
  <c r="T382" i="1"/>
  <c r="S382" i="1"/>
  <c r="R382" i="1"/>
  <c r="Q382" i="1"/>
  <c r="P382" i="1"/>
  <c r="O382" i="1"/>
  <c r="N382" i="1"/>
  <c r="M382" i="1"/>
  <c r="L382" i="1"/>
  <c r="J382" i="1"/>
  <c r="I382" i="1"/>
  <c r="H382" i="1"/>
  <c r="G382" i="1"/>
  <c r="F382" i="1"/>
  <c r="E382" i="1"/>
  <c r="D382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U380" i="1"/>
  <c r="T380" i="1"/>
  <c r="S380" i="1"/>
  <c r="R380" i="1"/>
  <c r="Q380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U379" i="1"/>
  <c r="T379" i="1"/>
  <c r="S379" i="1"/>
  <c r="R379" i="1"/>
  <c r="Q379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U378" i="1"/>
  <c r="T378" i="1"/>
  <c r="S378" i="1"/>
  <c r="R378" i="1"/>
  <c r="Q378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U374" i="1"/>
  <c r="T374" i="1"/>
  <c r="S374" i="1"/>
  <c r="R374" i="1"/>
  <c r="Q374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U373" i="1"/>
  <c r="T373" i="1"/>
  <c r="S373" i="1"/>
  <c r="R373" i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U358" i="1"/>
  <c r="T358" i="1"/>
  <c r="S358" i="1"/>
  <c r="R358" i="1"/>
  <c r="Q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U357" i="1"/>
  <c r="T357" i="1"/>
  <c r="S357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U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E355" i="1"/>
  <c r="D355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G354" i="1"/>
  <c r="F354" i="1"/>
  <c r="E354" i="1"/>
  <c r="D354" i="1"/>
  <c r="U353" i="1"/>
  <c r="T353" i="1"/>
  <c r="S353" i="1"/>
  <c r="R353" i="1"/>
  <c r="Q353" i="1"/>
  <c r="P353" i="1"/>
  <c r="O353" i="1"/>
  <c r="N353" i="1"/>
  <c r="M353" i="1"/>
  <c r="L353" i="1"/>
  <c r="K353" i="1"/>
  <c r="I353" i="1"/>
  <c r="H353" i="1"/>
  <c r="G353" i="1"/>
  <c r="F353" i="1"/>
  <c r="E353" i="1"/>
  <c r="D353" i="1"/>
  <c r="U352" i="1"/>
  <c r="T352" i="1"/>
  <c r="S352" i="1"/>
  <c r="R352" i="1"/>
  <c r="Q352" i="1"/>
  <c r="P352" i="1"/>
  <c r="O352" i="1"/>
  <c r="N352" i="1"/>
  <c r="M352" i="1"/>
  <c r="K352" i="1"/>
  <c r="J352" i="1"/>
  <c r="I352" i="1"/>
  <c r="H352" i="1"/>
  <c r="G352" i="1"/>
  <c r="F352" i="1"/>
  <c r="E352" i="1"/>
  <c r="D352" i="1"/>
  <c r="U351" i="1"/>
  <c r="T351" i="1"/>
  <c r="S351" i="1"/>
  <c r="R351" i="1"/>
  <c r="Q351" i="1"/>
  <c r="P351" i="1"/>
  <c r="O351" i="1"/>
  <c r="M351" i="1"/>
  <c r="L351" i="1"/>
  <c r="K351" i="1"/>
  <c r="J351" i="1"/>
  <c r="I351" i="1"/>
  <c r="H351" i="1"/>
  <c r="G351" i="1"/>
  <c r="F351" i="1"/>
  <c r="E351" i="1"/>
  <c r="D351" i="1"/>
  <c r="U350" i="1"/>
  <c r="T350" i="1"/>
  <c r="S350" i="1"/>
  <c r="R350" i="1"/>
  <c r="Q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U349" i="1"/>
  <c r="T349" i="1"/>
  <c r="S349" i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U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E347" i="1"/>
  <c r="D347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G346" i="1"/>
  <c r="F346" i="1"/>
  <c r="E346" i="1"/>
  <c r="D346" i="1"/>
  <c r="U345" i="1"/>
  <c r="T345" i="1"/>
  <c r="S345" i="1"/>
  <c r="R345" i="1"/>
  <c r="Q345" i="1"/>
  <c r="P345" i="1"/>
  <c r="O345" i="1"/>
  <c r="N345" i="1"/>
  <c r="M345" i="1"/>
  <c r="L345" i="1"/>
  <c r="K345" i="1"/>
  <c r="I345" i="1"/>
  <c r="H345" i="1"/>
  <c r="G345" i="1"/>
  <c r="F345" i="1"/>
  <c r="E345" i="1"/>
  <c r="D345" i="1"/>
  <c r="U344" i="1"/>
  <c r="T344" i="1"/>
  <c r="S344" i="1"/>
  <c r="R344" i="1"/>
  <c r="Q344" i="1"/>
  <c r="P344" i="1"/>
  <c r="O344" i="1"/>
  <c r="N344" i="1"/>
  <c r="M344" i="1"/>
  <c r="K344" i="1"/>
  <c r="J344" i="1"/>
  <c r="I344" i="1"/>
  <c r="H344" i="1"/>
  <c r="G344" i="1"/>
  <c r="F344" i="1"/>
  <c r="E344" i="1"/>
  <c r="D344" i="1"/>
  <c r="U343" i="1"/>
  <c r="T343" i="1"/>
  <c r="S343" i="1"/>
  <c r="R343" i="1"/>
  <c r="Q343" i="1"/>
  <c r="P343" i="1"/>
  <c r="O343" i="1"/>
  <c r="M343" i="1"/>
  <c r="L343" i="1"/>
  <c r="K343" i="1"/>
  <c r="J343" i="1"/>
  <c r="I343" i="1"/>
  <c r="H343" i="1"/>
  <c r="G343" i="1"/>
  <c r="F343" i="1"/>
  <c r="E343" i="1"/>
  <c r="D343" i="1"/>
  <c r="U342" i="1"/>
  <c r="T342" i="1"/>
  <c r="S342" i="1"/>
  <c r="R342" i="1"/>
  <c r="Q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U341" i="1"/>
  <c r="T341" i="1"/>
  <c r="S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U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U339" i="1"/>
  <c r="T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E339" i="1"/>
  <c r="D339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G338" i="1"/>
  <c r="F338" i="1"/>
  <c r="E338" i="1"/>
  <c r="D338" i="1"/>
  <c r="U337" i="1"/>
  <c r="T337" i="1"/>
  <c r="S337" i="1"/>
  <c r="R337" i="1"/>
  <c r="Q337" i="1"/>
  <c r="P337" i="1"/>
  <c r="O337" i="1"/>
  <c r="N337" i="1"/>
  <c r="M337" i="1"/>
  <c r="L337" i="1"/>
  <c r="K337" i="1"/>
  <c r="I337" i="1"/>
  <c r="H337" i="1"/>
  <c r="F337" i="1"/>
  <c r="E337" i="1"/>
  <c r="D337" i="1"/>
  <c r="U336" i="1"/>
  <c r="T336" i="1"/>
  <c r="S336" i="1"/>
  <c r="R336" i="1"/>
  <c r="Q336" i="1"/>
  <c r="P336" i="1"/>
  <c r="O336" i="1"/>
  <c r="N336" i="1"/>
  <c r="M336" i="1"/>
  <c r="K336" i="1"/>
  <c r="J336" i="1"/>
  <c r="I336" i="1"/>
  <c r="H336" i="1"/>
  <c r="G336" i="1"/>
  <c r="F336" i="1"/>
  <c r="E336" i="1"/>
  <c r="D336" i="1"/>
  <c r="U335" i="1"/>
  <c r="T335" i="1"/>
  <c r="S335" i="1"/>
  <c r="R335" i="1"/>
  <c r="Q335" i="1"/>
  <c r="P335" i="1"/>
  <c r="O335" i="1"/>
  <c r="M335" i="1"/>
  <c r="L335" i="1"/>
  <c r="J335" i="1"/>
  <c r="I335" i="1"/>
  <c r="H335" i="1"/>
  <c r="G335" i="1"/>
  <c r="F335" i="1"/>
  <c r="E335" i="1"/>
  <c r="D335" i="1"/>
  <c r="U334" i="1"/>
  <c r="T334" i="1"/>
  <c r="S334" i="1"/>
  <c r="R334" i="1"/>
  <c r="Q334" i="1"/>
  <c r="O334" i="1"/>
  <c r="N334" i="1"/>
  <c r="L334" i="1"/>
  <c r="K334" i="1"/>
  <c r="J334" i="1"/>
  <c r="I334" i="1"/>
  <c r="H334" i="1"/>
  <c r="G334" i="1"/>
  <c r="F334" i="1"/>
  <c r="E334" i="1"/>
  <c r="D334" i="1"/>
  <c r="U333" i="1"/>
  <c r="T333" i="1"/>
  <c r="S333" i="1"/>
  <c r="Q333" i="1"/>
  <c r="P333" i="1"/>
  <c r="N333" i="1"/>
  <c r="M333" i="1"/>
  <c r="L333" i="1"/>
  <c r="K333" i="1"/>
  <c r="J333" i="1"/>
  <c r="I333" i="1"/>
  <c r="H333" i="1"/>
  <c r="G333" i="1"/>
  <c r="F333" i="1"/>
  <c r="E333" i="1"/>
  <c r="D333" i="1"/>
  <c r="U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E331" i="1"/>
  <c r="D331" i="1"/>
  <c r="T330" i="1"/>
  <c r="S330" i="1"/>
  <c r="R330" i="1"/>
  <c r="Q330" i="1"/>
  <c r="P330" i="1"/>
  <c r="O330" i="1"/>
  <c r="N330" i="1"/>
  <c r="M330" i="1"/>
  <c r="L330" i="1"/>
  <c r="K330" i="1"/>
  <c r="J330" i="1"/>
  <c r="I330" i="1"/>
  <c r="G330" i="1"/>
  <c r="F330" i="1"/>
  <c r="E330" i="1"/>
  <c r="U329" i="1"/>
  <c r="T329" i="1"/>
  <c r="S329" i="1"/>
  <c r="R329" i="1"/>
  <c r="Q329" i="1"/>
  <c r="P329" i="1"/>
  <c r="O329" i="1"/>
  <c r="N329" i="1"/>
  <c r="M329" i="1"/>
  <c r="L329" i="1"/>
  <c r="K329" i="1"/>
  <c r="I329" i="1"/>
  <c r="H329" i="1"/>
  <c r="F329" i="1"/>
  <c r="E329" i="1"/>
  <c r="D329" i="1"/>
  <c r="U328" i="1"/>
  <c r="T328" i="1"/>
  <c r="S328" i="1"/>
  <c r="R328" i="1"/>
  <c r="Q328" i="1"/>
  <c r="P328" i="1"/>
  <c r="O328" i="1"/>
  <c r="N328" i="1"/>
  <c r="M328" i="1"/>
  <c r="K328" i="1"/>
  <c r="J328" i="1"/>
  <c r="I328" i="1"/>
  <c r="H328" i="1"/>
  <c r="G328" i="1"/>
  <c r="F328" i="1"/>
  <c r="E328" i="1"/>
  <c r="D328" i="1"/>
  <c r="U327" i="1"/>
  <c r="T327" i="1"/>
  <c r="S327" i="1"/>
  <c r="R327" i="1"/>
  <c r="Q327" i="1"/>
  <c r="P327" i="1"/>
  <c r="O327" i="1"/>
  <c r="M327" i="1"/>
  <c r="L327" i="1"/>
  <c r="K327" i="1"/>
  <c r="J327" i="1"/>
  <c r="I327" i="1"/>
  <c r="H327" i="1"/>
  <c r="G327" i="1"/>
  <c r="F327" i="1"/>
  <c r="E327" i="1"/>
  <c r="D327" i="1"/>
  <c r="U326" i="1"/>
  <c r="T326" i="1"/>
  <c r="S326" i="1"/>
  <c r="R326" i="1"/>
  <c r="Q326" i="1"/>
  <c r="O326" i="1"/>
  <c r="N326" i="1"/>
  <c r="L326" i="1"/>
  <c r="K326" i="1"/>
  <c r="J326" i="1"/>
  <c r="I326" i="1"/>
  <c r="H326" i="1"/>
  <c r="G326" i="1"/>
  <c r="F326" i="1"/>
  <c r="E326" i="1"/>
  <c r="D326" i="1"/>
  <c r="U325" i="1"/>
  <c r="T325" i="1"/>
  <c r="S325" i="1"/>
  <c r="Q325" i="1"/>
  <c r="P325" i="1"/>
  <c r="N325" i="1"/>
  <c r="M325" i="1"/>
  <c r="L325" i="1"/>
  <c r="K325" i="1"/>
  <c r="J325" i="1"/>
  <c r="I325" i="1"/>
  <c r="H325" i="1"/>
  <c r="G325" i="1"/>
  <c r="F325" i="1"/>
  <c r="E325" i="1"/>
  <c r="D325" i="1"/>
  <c r="U324" i="1"/>
  <c r="S324" i="1"/>
  <c r="R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U323" i="1"/>
  <c r="T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E323" i="1"/>
  <c r="D323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G322" i="1"/>
  <c r="F322" i="1"/>
  <c r="E322" i="1"/>
  <c r="U321" i="1"/>
  <c r="T321" i="1"/>
  <c r="S321" i="1"/>
  <c r="R321" i="1"/>
  <c r="Q321" i="1"/>
  <c r="P321" i="1"/>
  <c r="O321" i="1"/>
  <c r="N321" i="1"/>
  <c r="M321" i="1"/>
  <c r="L321" i="1"/>
  <c r="K321" i="1"/>
  <c r="I321" i="1"/>
  <c r="H321" i="1"/>
  <c r="F321" i="1"/>
  <c r="E321" i="1"/>
  <c r="D321" i="1"/>
  <c r="U320" i="1"/>
  <c r="T320" i="1"/>
  <c r="S320" i="1"/>
  <c r="R320" i="1"/>
  <c r="Q320" i="1"/>
  <c r="P320" i="1"/>
  <c r="N320" i="1"/>
  <c r="M320" i="1"/>
  <c r="K320" i="1"/>
  <c r="J320" i="1"/>
  <c r="I320" i="1"/>
  <c r="H320" i="1"/>
  <c r="G320" i="1"/>
  <c r="F320" i="1"/>
  <c r="E320" i="1"/>
  <c r="D320" i="1"/>
  <c r="U319" i="1"/>
  <c r="T319" i="1"/>
  <c r="S319" i="1"/>
  <c r="R319" i="1"/>
  <c r="P319" i="1"/>
  <c r="O319" i="1"/>
  <c r="M319" i="1"/>
  <c r="L319" i="1"/>
  <c r="K319" i="1"/>
  <c r="J319" i="1"/>
  <c r="I319" i="1"/>
  <c r="H319" i="1"/>
  <c r="G319" i="1"/>
  <c r="F319" i="1"/>
  <c r="E319" i="1"/>
  <c r="D319" i="1"/>
  <c r="U318" i="1"/>
  <c r="T318" i="1"/>
  <c r="R318" i="1"/>
  <c r="Q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T317" i="1"/>
  <c r="S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U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F316" i="1"/>
  <c r="E316" i="1"/>
  <c r="D316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H315" i="1"/>
  <c r="G315" i="1"/>
  <c r="E315" i="1"/>
  <c r="D315" i="1"/>
  <c r="U314" i="1"/>
  <c r="T314" i="1"/>
  <c r="S314" i="1"/>
  <c r="R314" i="1"/>
  <c r="Q314" i="1"/>
  <c r="P314" i="1"/>
  <c r="O314" i="1"/>
  <c r="N314" i="1"/>
  <c r="M314" i="1"/>
  <c r="L314" i="1"/>
  <c r="J314" i="1"/>
  <c r="I314" i="1"/>
  <c r="G314" i="1"/>
  <c r="F314" i="1"/>
  <c r="E314" i="1"/>
  <c r="D314" i="1"/>
  <c r="U313" i="1"/>
  <c r="T313" i="1"/>
  <c r="S313" i="1"/>
  <c r="R313" i="1"/>
  <c r="Q313" i="1"/>
  <c r="P313" i="1"/>
  <c r="O313" i="1"/>
  <c r="N313" i="1"/>
  <c r="L313" i="1"/>
  <c r="K313" i="1"/>
  <c r="I313" i="1"/>
  <c r="H313" i="1"/>
  <c r="G313" i="1"/>
  <c r="F313" i="1"/>
  <c r="E313" i="1"/>
  <c r="D313" i="1"/>
  <c r="U312" i="1"/>
  <c r="T312" i="1"/>
  <c r="S312" i="1"/>
  <c r="R312" i="1"/>
  <c r="Q312" i="1"/>
  <c r="P312" i="1"/>
  <c r="N312" i="1"/>
  <c r="M312" i="1"/>
  <c r="K312" i="1"/>
  <c r="J312" i="1"/>
  <c r="I312" i="1"/>
  <c r="H312" i="1"/>
  <c r="G312" i="1"/>
  <c r="F312" i="1"/>
  <c r="E312" i="1"/>
  <c r="D312" i="1"/>
  <c r="U311" i="1"/>
  <c r="T311" i="1"/>
  <c r="S311" i="1"/>
  <c r="R311" i="1"/>
  <c r="Q311" i="1"/>
  <c r="P311" i="1"/>
  <c r="O311" i="1"/>
  <c r="M311" i="1"/>
  <c r="L311" i="1"/>
  <c r="K311" i="1"/>
  <c r="J311" i="1"/>
  <c r="I311" i="1"/>
  <c r="H311" i="1"/>
  <c r="G311" i="1"/>
  <c r="F311" i="1"/>
  <c r="E311" i="1"/>
  <c r="D311" i="1"/>
  <c r="U310" i="1"/>
  <c r="T310" i="1"/>
  <c r="S310" i="1"/>
  <c r="R310" i="1"/>
  <c r="Q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U309" i="1"/>
  <c r="T309" i="1"/>
  <c r="S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U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F308" i="1"/>
  <c r="E308" i="1"/>
  <c r="D308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H307" i="1"/>
  <c r="G307" i="1"/>
  <c r="E307" i="1"/>
  <c r="D307" i="1"/>
  <c r="U306" i="1"/>
  <c r="T306" i="1"/>
  <c r="S306" i="1"/>
  <c r="R306" i="1"/>
  <c r="Q306" i="1"/>
  <c r="P306" i="1"/>
  <c r="O306" i="1"/>
  <c r="N306" i="1"/>
  <c r="M306" i="1"/>
  <c r="L306" i="1"/>
  <c r="J306" i="1"/>
  <c r="I306" i="1"/>
  <c r="G306" i="1"/>
  <c r="F306" i="1"/>
  <c r="E306" i="1"/>
  <c r="D306" i="1"/>
  <c r="U305" i="1"/>
  <c r="T305" i="1"/>
  <c r="S305" i="1"/>
  <c r="R305" i="1"/>
  <c r="Q305" i="1"/>
  <c r="P305" i="1"/>
  <c r="O305" i="1"/>
  <c r="N305" i="1"/>
  <c r="L305" i="1"/>
  <c r="K305" i="1"/>
  <c r="I305" i="1"/>
  <c r="H305" i="1"/>
  <c r="G305" i="1"/>
  <c r="F305" i="1"/>
  <c r="E305" i="1"/>
  <c r="D305" i="1"/>
  <c r="U304" i="1"/>
  <c r="T304" i="1"/>
  <c r="S304" i="1"/>
  <c r="R304" i="1"/>
  <c r="Q304" i="1"/>
  <c r="P304" i="1"/>
  <c r="N304" i="1"/>
  <c r="M304" i="1"/>
  <c r="K304" i="1"/>
  <c r="J304" i="1"/>
  <c r="I304" i="1"/>
  <c r="H304" i="1"/>
  <c r="G304" i="1"/>
  <c r="F304" i="1"/>
  <c r="E304" i="1"/>
  <c r="D304" i="1"/>
  <c r="U303" i="1"/>
  <c r="T303" i="1"/>
  <c r="S303" i="1"/>
  <c r="R303" i="1"/>
  <c r="P303" i="1"/>
  <c r="O303" i="1"/>
  <c r="M303" i="1"/>
  <c r="L303" i="1"/>
  <c r="K303" i="1"/>
  <c r="J303" i="1"/>
  <c r="I303" i="1"/>
  <c r="H303" i="1"/>
  <c r="G303" i="1"/>
  <c r="F303" i="1"/>
  <c r="E303" i="1"/>
  <c r="D303" i="1"/>
  <c r="U302" i="1"/>
  <c r="T302" i="1"/>
  <c r="R302" i="1"/>
  <c r="Q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T301" i="1"/>
  <c r="S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U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F300" i="1"/>
  <c r="E300" i="1"/>
  <c r="D300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H299" i="1"/>
  <c r="G299" i="1"/>
  <c r="E299" i="1"/>
  <c r="D299" i="1"/>
  <c r="U298" i="1"/>
  <c r="T298" i="1"/>
  <c r="S298" i="1"/>
  <c r="R298" i="1"/>
  <c r="Q298" i="1"/>
  <c r="P298" i="1"/>
  <c r="O298" i="1"/>
  <c r="N298" i="1"/>
  <c r="M298" i="1"/>
  <c r="L298" i="1"/>
  <c r="J298" i="1"/>
  <c r="I298" i="1"/>
  <c r="G298" i="1"/>
  <c r="F298" i="1"/>
  <c r="E298" i="1"/>
  <c r="D298" i="1"/>
  <c r="U297" i="1"/>
  <c r="T297" i="1"/>
  <c r="S297" i="1"/>
  <c r="R297" i="1"/>
  <c r="Q297" i="1"/>
  <c r="P297" i="1"/>
  <c r="O297" i="1"/>
  <c r="N297" i="1"/>
  <c r="L297" i="1"/>
  <c r="K297" i="1"/>
  <c r="I297" i="1"/>
  <c r="H297" i="1"/>
  <c r="G297" i="1"/>
  <c r="F297" i="1"/>
  <c r="E297" i="1"/>
  <c r="D297" i="1"/>
  <c r="U296" i="1"/>
  <c r="T296" i="1"/>
  <c r="S296" i="1"/>
  <c r="R296" i="1"/>
  <c r="Q296" i="1"/>
  <c r="P296" i="1"/>
  <c r="N296" i="1"/>
  <c r="M296" i="1"/>
  <c r="K296" i="1"/>
  <c r="J296" i="1"/>
  <c r="I296" i="1"/>
  <c r="H296" i="1"/>
  <c r="G296" i="1"/>
  <c r="F296" i="1"/>
  <c r="E296" i="1"/>
  <c r="D296" i="1"/>
  <c r="U295" i="1"/>
  <c r="T295" i="1"/>
  <c r="S295" i="1"/>
  <c r="R295" i="1"/>
  <c r="P295" i="1"/>
  <c r="O295" i="1"/>
  <c r="M295" i="1"/>
  <c r="L295" i="1"/>
  <c r="K295" i="1"/>
  <c r="J295" i="1"/>
  <c r="I295" i="1"/>
  <c r="H295" i="1"/>
  <c r="G295" i="1"/>
  <c r="F295" i="1"/>
  <c r="E295" i="1"/>
  <c r="D295" i="1"/>
  <c r="U294" i="1"/>
  <c r="T294" i="1"/>
  <c r="R294" i="1"/>
  <c r="Q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T293" i="1"/>
  <c r="S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U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F292" i="1"/>
  <c r="E292" i="1"/>
  <c r="D292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H291" i="1"/>
  <c r="G291" i="1"/>
  <c r="E291" i="1"/>
  <c r="D291" i="1"/>
  <c r="U290" i="1"/>
  <c r="T290" i="1"/>
  <c r="S290" i="1"/>
  <c r="R290" i="1"/>
  <c r="Q290" i="1"/>
  <c r="P290" i="1"/>
  <c r="O290" i="1"/>
  <c r="N290" i="1"/>
  <c r="M290" i="1"/>
  <c r="L290" i="1"/>
  <c r="J290" i="1"/>
  <c r="I290" i="1"/>
  <c r="G290" i="1"/>
  <c r="F290" i="1"/>
  <c r="E290" i="1"/>
  <c r="D290" i="1"/>
  <c r="U289" i="1"/>
  <c r="T289" i="1"/>
  <c r="S289" i="1"/>
  <c r="R289" i="1"/>
  <c r="Q289" i="1"/>
  <c r="P289" i="1"/>
  <c r="O289" i="1"/>
  <c r="N289" i="1"/>
  <c r="L289" i="1"/>
  <c r="K289" i="1"/>
  <c r="I289" i="1"/>
  <c r="H289" i="1"/>
  <c r="G289" i="1"/>
  <c r="F289" i="1"/>
  <c r="E289" i="1"/>
  <c r="D289" i="1"/>
  <c r="U288" i="1"/>
  <c r="T288" i="1"/>
  <c r="S288" i="1"/>
  <c r="R288" i="1"/>
  <c r="Q288" i="1"/>
  <c r="P288" i="1"/>
  <c r="N288" i="1"/>
  <c r="M288" i="1"/>
  <c r="K288" i="1"/>
  <c r="J288" i="1"/>
  <c r="I288" i="1"/>
  <c r="H288" i="1"/>
  <c r="G288" i="1"/>
  <c r="F288" i="1"/>
  <c r="E288" i="1"/>
  <c r="D288" i="1"/>
  <c r="U287" i="1"/>
  <c r="T287" i="1"/>
  <c r="S287" i="1"/>
  <c r="R287" i="1"/>
  <c r="P287" i="1"/>
  <c r="O287" i="1"/>
  <c r="M287" i="1"/>
  <c r="L287" i="1"/>
  <c r="K287" i="1"/>
  <c r="J287" i="1"/>
  <c r="I287" i="1"/>
  <c r="H287" i="1"/>
  <c r="G287" i="1"/>
  <c r="F287" i="1"/>
  <c r="E287" i="1"/>
  <c r="D287" i="1"/>
  <c r="U286" i="1"/>
  <c r="T286" i="1"/>
  <c r="R286" i="1"/>
  <c r="Q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T285" i="1"/>
  <c r="S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U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F284" i="1"/>
  <c r="E284" i="1"/>
  <c r="D284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H283" i="1"/>
  <c r="G283" i="1"/>
  <c r="E283" i="1"/>
  <c r="D283" i="1"/>
  <c r="U282" i="1"/>
  <c r="T282" i="1"/>
  <c r="S282" i="1"/>
  <c r="R282" i="1"/>
  <c r="Q282" i="1"/>
  <c r="P282" i="1"/>
  <c r="O282" i="1"/>
  <c r="N282" i="1"/>
  <c r="M282" i="1"/>
  <c r="L282" i="1"/>
  <c r="J282" i="1"/>
  <c r="I282" i="1"/>
  <c r="G282" i="1"/>
  <c r="F282" i="1"/>
  <c r="E282" i="1"/>
  <c r="D282" i="1"/>
  <c r="U281" i="1"/>
  <c r="T281" i="1"/>
  <c r="S281" i="1"/>
  <c r="R281" i="1"/>
  <c r="Q281" i="1"/>
  <c r="P281" i="1"/>
  <c r="O281" i="1"/>
  <c r="N281" i="1"/>
  <c r="L281" i="1"/>
  <c r="K281" i="1"/>
  <c r="I281" i="1"/>
  <c r="H281" i="1"/>
  <c r="G281" i="1"/>
  <c r="F281" i="1"/>
  <c r="E281" i="1"/>
  <c r="D281" i="1"/>
  <c r="U280" i="1"/>
  <c r="T280" i="1"/>
  <c r="S280" i="1"/>
  <c r="R280" i="1"/>
  <c r="Q280" i="1"/>
  <c r="P280" i="1"/>
  <c r="N280" i="1"/>
  <c r="M280" i="1"/>
  <c r="K280" i="1"/>
  <c r="J280" i="1"/>
  <c r="I280" i="1"/>
  <c r="H280" i="1"/>
  <c r="G280" i="1"/>
  <c r="F280" i="1"/>
  <c r="E280" i="1"/>
  <c r="D280" i="1"/>
  <c r="U279" i="1"/>
  <c r="T279" i="1"/>
  <c r="S279" i="1"/>
  <c r="R279" i="1"/>
  <c r="P279" i="1"/>
  <c r="O279" i="1"/>
  <c r="M279" i="1"/>
  <c r="L279" i="1"/>
  <c r="K279" i="1"/>
  <c r="J279" i="1"/>
  <c r="I279" i="1"/>
  <c r="H279" i="1"/>
  <c r="G279" i="1"/>
  <c r="F279" i="1"/>
  <c r="E279" i="1"/>
  <c r="D279" i="1"/>
  <c r="U278" i="1"/>
  <c r="T278" i="1"/>
  <c r="R278" i="1"/>
  <c r="Q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T277" i="1"/>
  <c r="S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U276" i="1"/>
  <c r="S276" i="1"/>
  <c r="R276" i="1"/>
  <c r="Q276" i="1"/>
  <c r="P276" i="1"/>
  <c r="O276" i="1"/>
  <c r="N276" i="1"/>
  <c r="M276" i="1"/>
  <c r="L276" i="1"/>
  <c r="K276" i="1"/>
  <c r="J276" i="1"/>
  <c r="I276" i="1"/>
  <c r="H276" i="1"/>
  <c r="F276" i="1"/>
  <c r="E276" i="1"/>
  <c r="D276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H275" i="1"/>
  <c r="G275" i="1"/>
  <c r="E275" i="1"/>
  <c r="D275" i="1"/>
  <c r="U274" i="1"/>
  <c r="T274" i="1"/>
  <c r="S274" i="1"/>
  <c r="R274" i="1"/>
  <c r="Q274" i="1"/>
  <c r="P274" i="1"/>
  <c r="O274" i="1"/>
  <c r="N274" i="1"/>
  <c r="M274" i="1"/>
  <c r="L274" i="1"/>
  <c r="J274" i="1"/>
  <c r="I274" i="1"/>
  <c r="G274" i="1"/>
  <c r="F274" i="1"/>
  <c r="E274" i="1"/>
  <c r="D274" i="1"/>
  <c r="U273" i="1"/>
  <c r="T273" i="1"/>
  <c r="S273" i="1"/>
  <c r="R273" i="1"/>
  <c r="Q273" i="1"/>
  <c r="P273" i="1"/>
  <c r="O273" i="1"/>
  <c r="N273" i="1"/>
  <c r="L273" i="1"/>
  <c r="K273" i="1"/>
  <c r="I273" i="1"/>
  <c r="H273" i="1"/>
  <c r="G273" i="1"/>
  <c r="F273" i="1"/>
  <c r="E273" i="1"/>
  <c r="D273" i="1"/>
  <c r="U272" i="1"/>
  <c r="T272" i="1"/>
  <c r="S272" i="1"/>
  <c r="R272" i="1"/>
  <c r="Q272" i="1"/>
  <c r="P272" i="1"/>
  <c r="N272" i="1"/>
  <c r="M272" i="1"/>
  <c r="K272" i="1"/>
  <c r="J272" i="1"/>
  <c r="I272" i="1"/>
  <c r="H272" i="1"/>
  <c r="G272" i="1"/>
  <c r="F272" i="1"/>
  <c r="E272" i="1"/>
  <c r="D272" i="1"/>
  <c r="U271" i="1"/>
  <c r="T271" i="1"/>
  <c r="S271" i="1"/>
  <c r="R271" i="1"/>
  <c r="P271" i="1"/>
  <c r="O271" i="1"/>
  <c r="M271" i="1"/>
  <c r="L271" i="1"/>
  <c r="K271" i="1"/>
  <c r="J271" i="1"/>
  <c r="I271" i="1"/>
  <c r="H271" i="1"/>
  <c r="G271" i="1"/>
  <c r="F271" i="1"/>
  <c r="E271" i="1"/>
  <c r="D271" i="1"/>
  <c r="U270" i="1"/>
  <c r="T270" i="1"/>
  <c r="R270" i="1"/>
  <c r="Q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T269" i="1"/>
  <c r="S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U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F268" i="1"/>
  <c r="E268" i="1"/>
  <c r="D268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H267" i="1"/>
  <c r="G267" i="1"/>
  <c r="E267" i="1"/>
  <c r="D267" i="1"/>
  <c r="U266" i="1"/>
  <c r="T266" i="1"/>
  <c r="S266" i="1"/>
  <c r="R266" i="1"/>
  <c r="Q266" i="1"/>
  <c r="P266" i="1"/>
  <c r="O266" i="1"/>
  <c r="N266" i="1"/>
  <c r="M266" i="1"/>
  <c r="L266" i="1"/>
  <c r="J266" i="1"/>
  <c r="I266" i="1"/>
  <c r="G266" i="1"/>
  <c r="F266" i="1"/>
  <c r="E266" i="1"/>
  <c r="D266" i="1"/>
  <c r="U265" i="1"/>
  <c r="T265" i="1"/>
  <c r="S265" i="1"/>
  <c r="R265" i="1"/>
  <c r="Q265" i="1"/>
  <c r="P265" i="1"/>
  <c r="O265" i="1"/>
  <c r="N265" i="1"/>
  <c r="L265" i="1"/>
  <c r="K265" i="1"/>
  <c r="I265" i="1"/>
  <c r="H265" i="1"/>
  <c r="G265" i="1"/>
  <c r="F265" i="1"/>
  <c r="E265" i="1"/>
  <c r="D265" i="1"/>
  <c r="U264" i="1"/>
  <c r="T264" i="1"/>
  <c r="S264" i="1"/>
  <c r="R264" i="1"/>
  <c r="Q264" i="1"/>
  <c r="P264" i="1"/>
  <c r="N264" i="1"/>
  <c r="M264" i="1"/>
  <c r="K264" i="1"/>
  <c r="J264" i="1"/>
  <c r="I264" i="1"/>
  <c r="H264" i="1"/>
  <c r="G264" i="1"/>
  <c r="F264" i="1"/>
  <c r="E264" i="1"/>
  <c r="D264" i="1"/>
  <c r="U263" i="1"/>
  <c r="T263" i="1"/>
  <c r="S263" i="1"/>
  <c r="R263" i="1"/>
  <c r="P263" i="1"/>
  <c r="O263" i="1"/>
  <c r="M263" i="1"/>
  <c r="L263" i="1"/>
  <c r="K263" i="1"/>
  <c r="J263" i="1"/>
  <c r="I263" i="1"/>
  <c r="H263" i="1"/>
  <c r="G263" i="1"/>
  <c r="F263" i="1"/>
  <c r="E263" i="1"/>
  <c r="D263" i="1"/>
  <c r="U262" i="1"/>
  <c r="T262" i="1"/>
  <c r="R262" i="1"/>
  <c r="Q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T261" i="1"/>
  <c r="S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U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F260" i="1"/>
  <c r="E260" i="1"/>
  <c r="D260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H259" i="1"/>
  <c r="G259" i="1"/>
  <c r="E259" i="1"/>
  <c r="D259" i="1"/>
  <c r="U258" i="1"/>
  <c r="T258" i="1"/>
  <c r="S258" i="1"/>
  <c r="R258" i="1"/>
  <c r="Q258" i="1"/>
  <c r="P258" i="1"/>
  <c r="O258" i="1"/>
  <c r="N258" i="1"/>
  <c r="M258" i="1"/>
  <c r="L258" i="1"/>
  <c r="J258" i="1"/>
  <c r="I258" i="1"/>
  <c r="G258" i="1"/>
  <c r="F258" i="1"/>
  <c r="E258" i="1"/>
  <c r="D258" i="1"/>
  <c r="U257" i="1"/>
  <c r="T257" i="1"/>
  <c r="S257" i="1"/>
  <c r="R257" i="1"/>
  <c r="Q257" i="1"/>
  <c r="P257" i="1"/>
  <c r="O257" i="1"/>
  <c r="N257" i="1"/>
  <c r="L257" i="1"/>
  <c r="K257" i="1"/>
  <c r="I257" i="1"/>
  <c r="H257" i="1"/>
  <c r="G257" i="1"/>
  <c r="F257" i="1"/>
  <c r="E257" i="1"/>
  <c r="D257" i="1"/>
  <c r="U256" i="1"/>
  <c r="T256" i="1"/>
  <c r="S256" i="1"/>
  <c r="R256" i="1"/>
  <c r="Q256" i="1"/>
  <c r="P256" i="1"/>
  <c r="N256" i="1"/>
  <c r="M256" i="1"/>
  <c r="K256" i="1"/>
  <c r="J256" i="1"/>
  <c r="I256" i="1"/>
  <c r="H256" i="1"/>
  <c r="G256" i="1"/>
  <c r="F256" i="1"/>
  <c r="E256" i="1"/>
  <c r="D256" i="1"/>
  <c r="U255" i="1"/>
  <c r="T255" i="1"/>
  <c r="S255" i="1"/>
  <c r="R255" i="1"/>
  <c r="P255" i="1"/>
  <c r="O255" i="1"/>
  <c r="M255" i="1"/>
  <c r="L255" i="1"/>
  <c r="K255" i="1"/>
  <c r="J255" i="1"/>
  <c r="I255" i="1"/>
  <c r="H255" i="1"/>
  <c r="G255" i="1"/>
  <c r="F255" i="1"/>
  <c r="E255" i="1"/>
  <c r="D255" i="1"/>
  <c r="U254" i="1"/>
  <c r="T254" i="1"/>
  <c r="R254" i="1"/>
  <c r="Q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T253" i="1"/>
  <c r="S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U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F252" i="1"/>
  <c r="E252" i="1"/>
  <c r="D252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H251" i="1"/>
  <c r="G251" i="1"/>
  <c r="E251" i="1"/>
  <c r="D251" i="1"/>
  <c r="U250" i="1"/>
  <c r="T250" i="1"/>
  <c r="S250" i="1"/>
  <c r="R250" i="1"/>
  <c r="Q250" i="1"/>
  <c r="P250" i="1"/>
  <c r="O250" i="1"/>
  <c r="N250" i="1"/>
  <c r="M250" i="1"/>
  <c r="L250" i="1"/>
  <c r="J250" i="1"/>
  <c r="I250" i="1"/>
  <c r="G250" i="1"/>
  <c r="F250" i="1"/>
  <c r="E250" i="1"/>
  <c r="D250" i="1"/>
  <c r="U249" i="1"/>
  <c r="T249" i="1"/>
  <c r="S249" i="1"/>
  <c r="R249" i="1"/>
  <c r="Q249" i="1"/>
  <c r="P249" i="1"/>
  <c r="O249" i="1"/>
  <c r="N249" i="1"/>
  <c r="L249" i="1"/>
  <c r="K249" i="1"/>
  <c r="I249" i="1"/>
  <c r="H249" i="1"/>
  <c r="G249" i="1"/>
  <c r="F249" i="1"/>
  <c r="E249" i="1"/>
  <c r="D249" i="1"/>
  <c r="U248" i="1"/>
  <c r="T248" i="1"/>
  <c r="S248" i="1"/>
  <c r="R248" i="1"/>
  <c r="Q248" i="1"/>
  <c r="P248" i="1"/>
  <c r="N248" i="1"/>
  <c r="M248" i="1"/>
  <c r="K248" i="1"/>
  <c r="J248" i="1"/>
  <c r="I248" i="1"/>
  <c r="H248" i="1"/>
  <c r="G248" i="1"/>
  <c r="F248" i="1"/>
  <c r="E248" i="1"/>
  <c r="D248" i="1"/>
  <c r="U247" i="1"/>
  <c r="T247" i="1"/>
  <c r="S247" i="1"/>
  <c r="R247" i="1"/>
  <c r="P247" i="1"/>
  <c r="O247" i="1"/>
  <c r="M247" i="1"/>
  <c r="L247" i="1"/>
  <c r="K247" i="1"/>
  <c r="J247" i="1"/>
  <c r="I247" i="1"/>
  <c r="H247" i="1"/>
  <c r="G247" i="1"/>
  <c r="F247" i="1"/>
  <c r="E247" i="1"/>
  <c r="D247" i="1"/>
  <c r="U246" i="1"/>
  <c r="T246" i="1"/>
  <c r="R246" i="1"/>
  <c r="Q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T245" i="1"/>
  <c r="S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U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F244" i="1"/>
  <c r="E244" i="1"/>
  <c r="D244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H243" i="1"/>
  <c r="G243" i="1"/>
  <c r="E243" i="1"/>
  <c r="D243" i="1"/>
  <c r="U242" i="1"/>
  <c r="T242" i="1"/>
  <c r="S242" i="1"/>
  <c r="R242" i="1"/>
  <c r="Q242" i="1"/>
  <c r="P242" i="1"/>
  <c r="O242" i="1"/>
  <c r="N242" i="1"/>
  <c r="M242" i="1"/>
  <c r="L242" i="1"/>
  <c r="J242" i="1"/>
  <c r="I242" i="1"/>
  <c r="G242" i="1"/>
  <c r="F242" i="1"/>
  <c r="E242" i="1"/>
  <c r="D242" i="1"/>
  <c r="U241" i="1"/>
  <c r="T241" i="1"/>
  <c r="S241" i="1"/>
  <c r="R241" i="1"/>
  <c r="Q241" i="1"/>
  <c r="P241" i="1"/>
  <c r="O241" i="1"/>
  <c r="N241" i="1"/>
  <c r="L241" i="1"/>
  <c r="K241" i="1"/>
  <c r="I241" i="1"/>
  <c r="H241" i="1"/>
  <c r="G241" i="1"/>
  <c r="F241" i="1"/>
  <c r="E241" i="1"/>
  <c r="D241" i="1"/>
  <c r="U240" i="1"/>
  <c r="T240" i="1"/>
  <c r="S240" i="1"/>
  <c r="R240" i="1"/>
  <c r="Q240" i="1"/>
  <c r="P240" i="1"/>
  <c r="N240" i="1"/>
  <c r="M240" i="1"/>
  <c r="K240" i="1"/>
  <c r="J240" i="1"/>
  <c r="I240" i="1"/>
  <c r="H240" i="1"/>
  <c r="G240" i="1"/>
  <c r="F240" i="1"/>
  <c r="E240" i="1"/>
  <c r="D240" i="1"/>
  <c r="U239" i="1"/>
  <c r="T239" i="1"/>
  <c r="S239" i="1"/>
  <c r="R239" i="1"/>
  <c r="P239" i="1"/>
  <c r="O239" i="1"/>
  <c r="M239" i="1"/>
  <c r="L239" i="1"/>
  <c r="K239" i="1"/>
  <c r="J239" i="1"/>
  <c r="I239" i="1"/>
  <c r="H239" i="1"/>
  <c r="G239" i="1"/>
  <c r="F239" i="1"/>
  <c r="E239" i="1"/>
  <c r="D239" i="1"/>
  <c r="U238" i="1"/>
  <c r="T238" i="1"/>
  <c r="R238" i="1"/>
  <c r="Q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T237" i="1"/>
  <c r="S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U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F236" i="1"/>
  <c r="E236" i="1"/>
  <c r="D236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H235" i="1"/>
  <c r="G235" i="1"/>
  <c r="E235" i="1"/>
  <c r="D235" i="1"/>
  <c r="U234" i="1"/>
  <c r="T234" i="1"/>
  <c r="R234" i="1"/>
  <c r="Q234" i="1"/>
  <c r="P234" i="1"/>
  <c r="O234" i="1"/>
  <c r="L234" i="1"/>
  <c r="J234" i="1"/>
  <c r="I234" i="1"/>
  <c r="H234" i="1"/>
  <c r="G234" i="1"/>
  <c r="F234" i="1"/>
  <c r="E234" i="1"/>
  <c r="D234" i="1"/>
  <c r="U233" i="1"/>
  <c r="T233" i="1"/>
  <c r="S233" i="1"/>
  <c r="R233" i="1"/>
  <c r="O233" i="1"/>
  <c r="M233" i="1"/>
  <c r="L233" i="1"/>
  <c r="K233" i="1"/>
  <c r="J233" i="1"/>
  <c r="I233" i="1"/>
  <c r="H233" i="1"/>
  <c r="G233" i="1"/>
  <c r="E233" i="1"/>
  <c r="D233" i="1"/>
  <c r="U232" i="1"/>
  <c r="S232" i="1"/>
  <c r="R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U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E231" i="1"/>
  <c r="T230" i="1"/>
  <c r="S230" i="1"/>
  <c r="R230" i="1"/>
  <c r="Q230" i="1"/>
  <c r="P230" i="1"/>
  <c r="O230" i="1"/>
  <c r="N230" i="1"/>
  <c r="M230" i="1"/>
  <c r="L230" i="1"/>
  <c r="K230" i="1"/>
  <c r="I230" i="1"/>
  <c r="H230" i="1"/>
  <c r="F230" i="1"/>
  <c r="D230" i="1"/>
  <c r="U229" i="1"/>
  <c r="T229" i="1"/>
  <c r="S229" i="1"/>
  <c r="R229" i="1"/>
  <c r="Q229" i="1"/>
  <c r="P229" i="1"/>
  <c r="O229" i="1"/>
  <c r="N229" i="1"/>
  <c r="L229" i="1"/>
  <c r="K229" i="1"/>
  <c r="I229" i="1"/>
  <c r="H229" i="1"/>
  <c r="G229" i="1"/>
  <c r="F229" i="1"/>
  <c r="E229" i="1"/>
  <c r="D229" i="1"/>
  <c r="U228" i="1"/>
  <c r="T228" i="1"/>
  <c r="S228" i="1"/>
  <c r="R228" i="1"/>
  <c r="Q228" i="1"/>
  <c r="N228" i="1"/>
  <c r="L228" i="1"/>
  <c r="K228" i="1"/>
  <c r="J228" i="1"/>
  <c r="I228" i="1"/>
  <c r="H228" i="1"/>
  <c r="G228" i="1"/>
  <c r="F228" i="1"/>
  <c r="E228" i="1"/>
  <c r="D228" i="1"/>
  <c r="U227" i="1"/>
  <c r="T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T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D226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G225" i="1"/>
  <c r="E225" i="1"/>
  <c r="D225" i="1"/>
  <c r="U224" i="1"/>
  <c r="T224" i="1"/>
  <c r="S224" i="1"/>
  <c r="R224" i="1"/>
  <c r="P224" i="1"/>
  <c r="O224" i="1"/>
  <c r="N224" i="1"/>
  <c r="M224" i="1"/>
  <c r="K224" i="1"/>
  <c r="J224" i="1"/>
  <c r="H224" i="1"/>
  <c r="F224" i="1"/>
  <c r="E224" i="1"/>
  <c r="D224" i="1"/>
  <c r="U223" i="1"/>
  <c r="S223" i="1"/>
  <c r="R223" i="1"/>
  <c r="Q223" i="1"/>
  <c r="P223" i="1"/>
  <c r="M223" i="1"/>
  <c r="K223" i="1"/>
  <c r="J223" i="1"/>
  <c r="I223" i="1"/>
  <c r="H223" i="1"/>
  <c r="G223" i="1"/>
  <c r="F223" i="1"/>
  <c r="E223" i="1"/>
  <c r="U222" i="1"/>
  <c r="T222" i="1"/>
  <c r="S222" i="1"/>
  <c r="P222" i="1"/>
  <c r="N222" i="1"/>
  <c r="M222" i="1"/>
  <c r="L222" i="1"/>
  <c r="K222" i="1"/>
  <c r="J222" i="1"/>
  <c r="I222" i="1"/>
  <c r="H222" i="1"/>
  <c r="G222" i="1"/>
  <c r="F222" i="1"/>
  <c r="E222" i="1"/>
  <c r="D222" i="1"/>
  <c r="S221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F220" i="1"/>
  <c r="D220" i="1"/>
  <c r="U219" i="1"/>
  <c r="T219" i="1"/>
  <c r="S219" i="1"/>
  <c r="R219" i="1"/>
  <c r="Q219" i="1"/>
  <c r="P219" i="1"/>
  <c r="O219" i="1"/>
  <c r="N219" i="1"/>
  <c r="M219" i="1"/>
  <c r="L219" i="1"/>
  <c r="I219" i="1"/>
  <c r="G219" i="1"/>
  <c r="F219" i="1"/>
  <c r="E219" i="1"/>
  <c r="D219" i="1"/>
  <c r="U218" i="1"/>
  <c r="T218" i="1"/>
  <c r="R218" i="1"/>
  <c r="Q218" i="1"/>
  <c r="P218" i="1"/>
  <c r="O218" i="1"/>
  <c r="L218" i="1"/>
  <c r="J218" i="1"/>
  <c r="I218" i="1"/>
  <c r="H218" i="1"/>
  <c r="G218" i="1"/>
  <c r="F218" i="1"/>
  <c r="E218" i="1"/>
  <c r="D218" i="1"/>
  <c r="U217" i="1"/>
  <c r="T217" i="1"/>
  <c r="S217" i="1"/>
  <c r="R217" i="1"/>
  <c r="M217" i="1"/>
  <c r="L217" i="1"/>
  <c r="K217" i="1"/>
  <c r="J217" i="1"/>
  <c r="I217" i="1"/>
  <c r="H217" i="1"/>
  <c r="G217" i="1"/>
  <c r="E217" i="1"/>
  <c r="D217" i="1"/>
  <c r="U216" i="1"/>
  <c r="R216" i="1"/>
  <c r="P216" i="1"/>
  <c r="O216" i="1"/>
  <c r="N216" i="1"/>
  <c r="M216" i="1"/>
  <c r="L216" i="1"/>
  <c r="K216" i="1"/>
  <c r="J216" i="1"/>
  <c r="H216" i="1"/>
  <c r="G216" i="1"/>
  <c r="F216" i="1"/>
  <c r="E216" i="1"/>
  <c r="U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E215" i="1"/>
  <c r="T214" i="1"/>
  <c r="S214" i="1"/>
  <c r="R214" i="1"/>
  <c r="Q214" i="1"/>
  <c r="P214" i="1"/>
  <c r="O214" i="1"/>
  <c r="N214" i="1"/>
  <c r="M214" i="1"/>
  <c r="L214" i="1"/>
  <c r="K214" i="1"/>
  <c r="H214" i="1"/>
  <c r="F214" i="1"/>
  <c r="D214" i="1"/>
  <c r="U213" i="1"/>
  <c r="T213" i="1"/>
  <c r="S213" i="1"/>
  <c r="R213" i="1"/>
  <c r="Q213" i="1"/>
  <c r="P213" i="1"/>
  <c r="O213" i="1"/>
  <c r="N213" i="1"/>
  <c r="K213" i="1"/>
  <c r="I213" i="1"/>
  <c r="H213" i="1"/>
  <c r="G213" i="1"/>
  <c r="F213" i="1"/>
  <c r="E213" i="1"/>
  <c r="D213" i="1"/>
  <c r="U212" i="1"/>
  <c r="T212" i="1"/>
  <c r="S212" i="1"/>
  <c r="R212" i="1"/>
  <c r="Q212" i="1"/>
  <c r="N212" i="1"/>
  <c r="L212" i="1"/>
  <c r="K212" i="1"/>
  <c r="J212" i="1"/>
  <c r="I212" i="1"/>
  <c r="H212" i="1"/>
  <c r="G212" i="1"/>
  <c r="F212" i="1"/>
  <c r="E212" i="1"/>
  <c r="D212" i="1"/>
  <c r="U211" i="1"/>
  <c r="T211" i="1"/>
  <c r="O211" i="1"/>
  <c r="N211" i="1"/>
  <c r="M211" i="1"/>
  <c r="L211" i="1"/>
  <c r="K211" i="1"/>
  <c r="J211" i="1"/>
  <c r="I211" i="1"/>
  <c r="G211" i="1"/>
  <c r="F211" i="1"/>
  <c r="E211" i="1"/>
  <c r="D211" i="1"/>
  <c r="T210" i="1"/>
  <c r="R210" i="1"/>
  <c r="Q210" i="1"/>
  <c r="P210" i="1"/>
  <c r="O210" i="1"/>
  <c r="N210" i="1"/>
  <c r="M210" i="1"/>
  <c r="L210" i="1"/>
  <c r="J210" i="1"/>
  <c r="I210" i="1"/>
  <c r="H210" i="1"/>
  <c r="G210" i="1"/>
  <c r="D210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G209" i="1"/>
  <c r="D209" i="1"/>
  <c r="U208" i="1"/>
  <c r="T208" i="1"/>
  <c r="S208" i="1"/>
  <c r="R208" i="1"/>
  <c r="P208" i="1"/>
  <c r="O208" i="1"/>
  <c r="N208" i="1"/>
  <c r="M208" i="1"/>
  <c r="J208" i="1"/>
  <c r="H208" i="1"/>
  <c r="F208" i="1"/>
  <c r="E208" i="1"/>
  <c r="D208" i="1"/>
  <c r="U207" i="1"/>
  <c r="S207" i="1"/>
  <c r="R207" i="1"/>
  <c r="Q207" i="1"/>
  <c r="P207" i="1"/>
  <c r="M207" i="1"/>
  <c r="K207" i="1"/>
  <c r="J207" i="1"/>
  <c r="I207" i="1"/>
  <c r="H207" i="1"/>
  <c r="G207" i="1"/>
  <c r="F207" i="1"/>
  <c r="E207" i="1"/>
  <c r="U206" i="1"/>
  <c r="T206" i="1"/>
  <c r="S206" i="1"/>
  <c r="P206" i="1"/>
  <c r="N206" i="1"/>
  <c r="M206" i="1"/>
  <c r="L206" i="1"/>
  <c r="K206" i="1"/>
  <c r="J206" i="1"/>
  <c r="I206" i="1"/>
  <c r="H206" i="1"/>
  <c r="F206" i="1"/>
  <c r="E206" i="1"/>
  <c r="D206" i="1"/>
  <c r="T205" i="1"/>
  <c r="S205" i="1"/>
  <c r="R205" i="1"/>
  <c r="Q205" i="1"/>
  <c r="P205" i="1"/>
  <c r="O205" i="1"/>
  <c r="N205" i="1"/>
  <c r="L205" i="1"/>
  <c r="K205" i="1"/>
  <c r="J205" i="1"/>
  <c r="I205" i="1"/>
  <c r="F205" i="1"/>
  <c r="E205" i="1"/>
  <c r="U204" i="1"/>
  <c r="T204" i="1"/>
  <c r="S204" i="1"/>
  <c r="R204" i="1"/>
  <c r="Q204" i="1"/>
  <c r="P204" i="1"/>
  <c r="N204" i="1"/>
  <c r="M204" i="1"/>
  <c r="L204" i="1"/>
  <c r="K204" i="1"/>
  <c r="H204" i="1"/>
  <c r="F204" i="1"/>
  <c r="E204" i="1"/>
  <c r="D204" i="1"/>
  <c r="U203" i="1"/>
  <c r="T203" i="1"/>
  <c r="S203" i="1"/>
  <c r="R203" i="1"/>
  <c r="P203" i="1"/>
  <c r="O203" i="1"/>
  <c r="N203" i="1"/>
  <c r="M203" i="1"/>
  <c r="J203" i="1"/>
  <c r="H203" i="1"/>
  <c r="G203" i="1"/>
  <c r="F203" i="1"/>
  <c r="E203" i="1"/>
  <c r="D203" i="1"/>
  <c r="U202" i="1"/>
  <c r="T202" i="1"/>
  <c r="R202" i="1"/>
  <c r="Q202" i="1"/>
  <c r="P202" i="1"/>
  <c r="O202" i="1"/>
  <c r="L202" i="1"/>
  <c r="J202" i="1"/>
  <c r="I202" i="1"/>
  <c r="H202" i="1"/>
  <c r="G202" i="1"/>
  <c r="F202" i="1"/>
  <c r="E202" i="1"/>
  <c r="D202" i="1"/>
  <c r="T201" i="1"/>
  <c r="S201" i="1"/>
  <c r="R201" i="1"/>
  <c r="Q201" i="1"/>
  <c r="N201" i="1"/>
  <c r="L201" i="1"/>
  <c r="K201" i="1"/>
  <c r="J201" i="1"/>
  <c r="I201" i="1"/>
  <c r="H201" i="1"/>
  <c r="G201" i="1"/>
  <c r="F201" i="1"/>
  <c r="E201" i="1"/>
  <c r="U200" i="1"/>
  <c r="T200" i="1"/>
  <c r="S200" i="1"/>
  <c r="P200" i="1"/>
  <c r="N200" i="1"/>
  <c r="M200" i="1"/>
  <c r="L200" i="1"/>
  <c r="K200" i="1"/>
  <c r="J200" i="1"/>
  <c r="I200" i="1"/>
  <c r="H200" i="1"/>
  <c r="F200" i="1"/>
  <c r="E200" i="1"/>
  <c r="D200" i="1"/>
  <c r="U199" i="1"/>
  <c r="R199" i="1"/>
  <c r="P199" i="1"/>
  <c r="O199" i="1"/>
  <c r="N199" i="1"/>
  <c r="M199" i="1"/>
  <c r="L199" i="1"/>
  <c r="K199" i="1"/>
  <c r="J199" i="1"/>
  <c r="H199" i="1"/>
  <c r="G199" i="1"/>
  <c r="F199" i="1"/>
  <c r="E199" i="1"/>
  <c r="D199" i="1"/>
  <c r="T198" i="1"/>
  <c r="R198" i="1"/>
  <c r="Q198" i="1"/>
  <c r="P198" i="1"/>
  <c r="O198" i="1"/>
  <c r="N198" i="1"/>
  <c r="M198" i="1"/>
  <c r="L198" i="1"/>
  <c r="J198" i="1"/>
  <c r="I198" i="1"/>
  <c r="H198" i="1"/>
  <c r="G198" i="1"/>
  <c r="E198" i="1"/>
  <c r="T197" i="1"/>
  <c r="S197" i="1"/>
  <c r="R197" i="1"/>
  <c r="Q197" i="1"/>
  <c r="P197" i="1"/>
  <c r="O197" i="1"/>
  <c r="N197" i="1"/>
  <c r="L197" i="1"/>
  <c r="K197" i="1"/>
  <c r="J197" i="1"/>
  <c r="I197" i="1"/>
  <c r="F197" i="1"/>
  <c r="E197" i="1"/>
  <c r="U196" i="1"/>
  <c r="T196" i="1"/>
  <c r="S196" i="1"/>
  <c r="R196" i="1"/>
  <c r="Q196" i="1"/>
  <c r="P196" i="1"/>
  <c r="N196" i="1"/>
  <c r="M196" i="1"/>
  <c r="L196" i="1"/>
  <c r="K196" i="1"/>
  <c r="H196" i="1"/>
  <c r="F196" i="1"/>
  <c r="E196" i="1"/>
  <c r="D196" i="1"/>
  <c r="U195" i="1"/>
  <c r="T195" i="1"/>
  <c r="S195" i="1"/>
  <c r="R195" i="1"/>
  <c r="P195" i="1"/>
  <c r="O195" i="1"/>
  <c r="N195" i="1"/>
  <c r="M195" i="1"/>
  <c r="J195" i="1"/>
  <c r="H195" i="1"/>
  <c r="G195" i="1"/>
  <c r="F195" i="1"/>
  <c r="E195" i="1"/>
  <c r="D195" i="1"/>
  <c r="U194" i="1"/>
  <c r="T194" i="1"/>
  <c r="R194" i="1"/>
  <c r="Q194" i="1"/>
  <c r="P194" i="1"/>
  <c r="O194" i="1"/>
  <c r="L194" i="1"/>
  <c r="J194" i="1"/>
  <c r="I194" i="1"/>
  <c r="H194" i="1"/>
  <c r="G194" i="1"/>
  <c r="F194" i="1"/>
  <c r="E194" i="1"/>
  <c r="D194" i="1"/>
  <c r="T193" i="1"/>
  <c r="S193" i="1"/>
  <c r="R193" i="1"/>
  <c r="Q193" i="1"/>
  <c r="N193" i="1"/>
  <c r="L193" i="1"/>
  <c r="K193" i="1"/>
  <c r="J193" i="1"/>
  <c r="I193" i="1"/>
  <c r="H193" i="1"/>
  <c r="G193" i="1"/>
  <c r="F193" i="1"/>
  <c r="E193" i="1"/>
  <c r="U192" i="1"/>
  <c r="T192" i="1"/>
  <c r="S192" i="1"/>
  <c r="P192" i="1"/>
  <c r="N192" i="1"/>
  <c r="M192" i="1"/>
  <c r="L192" i="1"/>
  <c r="K192" i="1"/>
  <c r="J192" i="1"/>
  <c r="I192" i="1"/>
  <c r="H192" i="1"/>
  <c r="F192" i="1"/>
  <c r="E192" i="1"/>
  <c r="D192" i="1"/>
  <c r="U191" i="1"/>
  <c r="R191" i="1"/>
  <c r="P191" i="1"/>
  <c r="O191" i="1"/>
  <c r="N191" i="1"/>
  <c r="M191" i="1"/>
  <c r="L191" i="1"/>
  <c r="K191" i="1"/>
  <c r="J191" i="1"/>
  <c r="H191" i="1"/>
  <c r="G191" i="1"/>
  <c r="F191" i="1"/>
  <c r="E191" i="1"/>
  <c r="D191" i="1"/>
  <c r="T190" i="1"/>
  <c r="R190" i="1"/>
  <c r="Q190" i="1"/>
  <c r="P190" i="1"/>
  <c r="O190" i="1"/>
  <c r="N190" i="1"/>
  <c r="M190" i="1"/>
  <c r="L190" i="1"/>
  <c r="J190" i="1"/>
  <c r="I190" i="1"/>
  <c r="H190" i="1"/>
  <c r="G190" i="1"/>
  <c r="E190" i="1"/>
  <c r="T189" i="1"/>
  <c r="S189" i="1"/>
  <c r="R189" i="1"/>
  <c r="Q189" i="1"/>
  <c r="P189" i="1"/>
  <c r="O189" i="1"/>
  <c r="N189" i="1"/>
  <c r="L189" i="1"/>
  <c r="K189" i="1"/>
  <c r="J189" i="1"/>
  <c r="I189" i="1"/>
  <c r="F189" i="1"/>
  <c r="E189" i="1"/>
  <c r="U188" i="1"/>
  <c r="T188" i="1"/>
  <c r="S188" i="1"/>
  <c r="Q188" i="1"/>
  <c r="P188" i="1"/>
  <c r="O188" i="1"/>
  <c r="N188" i="1"/>
  <c r="K188" i="1"/>
  <c r="H188" i="1"/>
  <c r="G188" i="1"/>
  <c r="F188" i="1"/>
  <c r="E188" i="1"/>
  <c r="D188" i="1"/>
  <c r="U187" i="1"/>
  <c r="S187" i="1"/>
  <c r="R187" i="1"/>
  <c r="Q187" i="1"/>
  <c r="P187" i="1"/>
  <c r="M187" i="1"/>
  <c r="J187" i="1"/>
  <c r="I187" i="1"/>
  <c r="H187" i="1"/>
  <c r="G187" i="1"/>
  <c r="F187" i="1"/>
  <c r="E187" i="1"/>
  <c r="D187" i="1"/>
  <c r="U186" i="1"/>
  <c r="T186" i="1"/>
  <c r="S186" i="1"/>
  <c r="R186" i="1"/>
  <c r="O186" i="1"/>
  <c r="L186" i="1"/>
  <c r="K186" i="1"/>
  <c r="J186" i="1"/>
  <c r="I186" i="1"/>
  <c r="H186" i="1"/>
  <c r="G186" i="1"/>
  <c r="E186" i="1"/>
  <c r="D186" i="1"/>
  <c r="U185" i="1"/>
  <c r="T185" i="1"/>
  <c r="Q185" i="1"/>
  <c r="N185" i="1"/>
  <c r="M185" i="1"/>
  <c r="L185" i="1"/>
  <c r="K185" i="1"/>
  <c r="J185" i="1"/>
  <c r="I185" i="1"/>
  <c r="G185" i="1"/>
  <c r="F185" i="1"/>
  <c r="E185" i="1"/>
  <c r="D185" i="1"/>
  <c r="S184" i="1"/>
  <c r="P184" i="1"/>
  <c r="O184" i="1"/>
  <c r="N184" i="1"/>
  <c r="M184" i="1"/>
  <c r="L184" i="1"/>
  <c r="K184" i="1"/>
  <c r="I184" i="1"/>
  <c r="H184" i="1"/>
  <c r="G184" i="1"/>
  <c r="F184" i="1"/>
  <c r="E184" i="1"/>
  <c r="U183" i="1"/>
  <c r="R183" i="1"/>
  <c r="Q183" i="1"/>
  <c r="P183" i="1"/>
  <c r="O183" i="1"/>
  <c r="N183" i="1"/>
  <c r="M183" i="1"/>
  <c r="K183" i="1"/>
  <c r="J183" i="1"/>
  <c r="I183" i="1"/>
  <c r="H183" i="1"/>
  <c r="E183" i="1"/>
  <c r="D183" i="1"/>
  <c r="T182" i="1"/>
  <c r="S182" i="1"/>
  <c r="R182" i="1"/>
  <c r="Q182" i="1"/>
  <c r="P182" i="1"/>
  <c r="O182" i="1"/>
  <c r="M182" i="1"/>
  <c r="L182" i="1"/>
  <c r="K182" i="1"/>
  <c r="J182" i="1"/>
  <c r="G182" i="1"/>
  <c r="E182" i="1"/>
  <c r="D182" i="1"/>
  <c r="U181" i="1"/>
  <c r="T181" i="1"/>
  <c r="S181" i="1"/>
  <c r="R181" i="1"/>
  <c r="Q181" i="1"/>
  <c r="O181" i="1"/>
  <c r="N181" i="1"/>
  <c r="M181" i="1"/>
  <c r="L181" i="1"/>
  <c r="I181" i="1"/>
  <c r="F181" i="1"/>
  <c r="E181" i="1"/>
  <c r="D181" i="1"/>
  <c r="U180" i="1"/>
  <c r="T180" i="1"/>
  <c r="S180" i="1"/>
  <c r="Q180" i="1"/>
  <c r="P180" i="1"/>
  <c r="O180" i="1"/>
  <c r="N180" i="1"/>
  <c r="K180" i="1"/>
  <c r="H180" i="1"/>
  <c r="G180" i="1"/>
  <c r="F180" i="1"/>
  <c r="E180" i="1"/>
  <c r="D180" i="1"/>
  <c r="U179" i="1"/>
  <c r="S179" i="1"/>
  <c r="R179" i="1"/>
  <c r="Q179" i="1"/>
  <c r="P179" i="1"/>
  <c r="M179" i="1"/>
  <c r="J179" i="1"/>
  <c r="I179" i="1"/>
  <c r="H179" i="1"/>
  <c r="G179" i="1"/>
  <c r="F179" i="1"/>
  <c r="E179" i="1"/>
  <c r="D179" i="1"/>
  <c r="U178" i="1"/>
  <c r="T178" i="1"/>
  <c r="S178" i="1"/>
  <c r="R178" i="1"/>
  <c r="O178" i="1"/>
  <c r="L178" i="1"/>
  <c r="K178" i="1"/>
  <c r="J178" i="1"/>
  <c r="I178" i="1"/>
  <c r="H178" i="1"/>
  <c r="G178" i="1"/>
  <c r="E178" i="1"/>
  <c r="D178" i="1"/>
  <c r="U177" i="1"/>
  <c r="T177" i="1"/>
  <c r="Q177" i="1"/>
  <c r="N177" i="1"/>
  <c r="M177" i="1"/>
  <c r="L177" i="1"/>
  <c r="K177" i="1"/>
  <c r="J177" i="1"/>
  <c r="I177" i="1"/>
  <c r="G177" i="1"/>
  <c r="F177" i="1"/>
  <c r="E177" i="1"/>
  <c r="D177" i="1"/>
  <c r="S176" i="1"/>
  <c r="P176" i="1"/>
  <c r="O176" i="1"/>
  <c r="N176" i="1"/>
  <c r="M176" i="1"/>
  <c r="L176" i="1"/>
  <c r="K176" i="1"/>
  <c r="I176" i="1"/>
  <c r="H176" i="1"/>
  <c r="G176" i="1"/>
  <c r="F176" i="1"/>
  <c r="E176" i="1"/>
  <c r="U175" i="1"/>
  <c r="R175" i="1"/>
  <c r="Q175" i="1"/>
  <c r="P175" i="1"/>
  <c r="O175" i="1"/>
  <c r="N175" i="1"/>
  <c r="M175" i="1"/>
  <c r="K175" i="1"/>
  <c r="J175" i="1"/>
  <c r="I175" i="1"/>
  <c r="H175" i="1"/>
  <c r="E175" i="1"/>
  <c r="D175" i="1"/>
  <c r="T174" i="1"/>
  <c r="S174" i="1"/>
  <c r="R174" i="1"/>
  <c r="Q174" i="1"/>
  <c r="P174" i="1"/>
  <c r="O174" i="1"/>
  <c r="M174" i="1"/>
  <c r="L174" i="1"/>
  <c r="K174" i="1"/>
  <c r="J174" i="1"/>
  <c r="G174" i="1"/>
  <c r="E174" i="1"/>
  <c r="U173" i="1"/>
  <c r="T173" i="1"/>
  <c r="S173" i="1"/>
  <c r="R173" i="1"/>
  <c r="Q173" i="1"/>
  <c r="O173" i="1"/>
  <c r="N173" i="1"/>
  <c r="M173" i="1"/>
  <c r="L173" i="1"/>
  <c r="I173" i="1"/>
  <c r="F173" i="1"/>
  <c r="E173" i="1"/>
  <c r="D173" i="1"/>
  <c r="U172" i="1"/>
  <c r="T172" i="1"/>
  <c r="S172" i="1"/>
  <c r="Q172" i="1"/>
  <c r="P172" i="1"/>
  <c r="O172" i="1"/>
  <c r="N172" i="1"/>
  <c r="K172" i="1"/>
  <c r="G172" i="1"/>
  <c r="F172" i="1"/>
  <c r="E172" i="1"/>
  <c r="D172" i="1"/>
  <c r="U171" i="1"/>
  <c r="S171" i="1"/>
  <c r="R171" i="1"/>
  <c r="Q171" i="1"/>
  <c r="P171" i="1"/>
  <c r="M171" i="1"/>
  <c r="I171" i="1"/>
  <c r="H171" i="1"/>
  <c r="G171" i="1"/>
  <c r="F171" i="1"/>
  <c r="E171" i="1"/>
  <c r="D171" i="1"/>
  <c r="U170" i="1"/>
  <c r="T170" i="1"/>
  <c r="S170" i="1"/>
  <c r="R170" i="1"/>
  <c r="O170" i="1"/>
  <c r="K170" i="1"/>
  <c r="J170" i="1"/>
  <c r="I170" i="1"/>
  <c r="H170" i="1"/>
  <c r="G170" i="1"/>
  <c r="E170" i="1"/>
  <c r="D170" i="1"/>
  <c r="U169" i="1"/>
  <c r="T169" i="1"/>
  <c r="Q169" i="1"/>
  <c r="M169" i="1"/>
  <c r="L169" i="1"/>
  <c r="K169" i="1"/>
  <c r="J169" i="1"/>
  <c r="I169" i="1"/>
  <c r="G169" i="1"/>
  <c r="F169" i="1"/>
  <c r="E169" i="1"/>
  <c r="D169" i="1"/>
  <c r="S168" i="1"/>
  <c r="P168" i="1"/>
  <c r="O168" i="1"/>
  <c r="N168" i="1"/>
  <c r="M168" i="1"/>
  <c r="L168" i="1"/>
  <c r="K168" i="1"/>
  <c r="I168" i="1"/>
  <c r="H168" i="1"/>
  <c r="G168" i="1"/>
  <c r="F168" i="1"/>
  <c r="E168" i="1"/>
  <c r="U167" i="1"/>
  <c r="Q167" i="1"/>
  <c r="P167" i="1"/>
  <c r="O167" i="1"/>
  <c r="N167" i="1"/>
  <c r="M167" i="1"/>
  <c r="K167" i="1"/>
  <c r="J167" i="1"/>
  <c r="I167" i="1"/>
  <c r="H167" i="1"/>
  <c r="E167" i="1"/>
  <c r="S166" i="1"/>
  <c r="R166" i="1"/>
  <c r="Q166" i="1"/>
  <c r="P166" i="1"/>
  <c r="O166" i="1"/>
  <c r="M166" i="1"/>
  <c r="L166" i="1"/>
  <c r="K166" i="1"/>
  <c r="J166" i="1"/>
  <c r="G166" i="1"/>
  <c r="E166" i="1"/>
  <c r="U165" i="1"/>
  <c r="T165" i="1"/>
  <c r="S165" i="1"/>
  <c r="R165" i="1"/>
  <c r="Q165" i="1"/>
  <c r="O165" i="1"/>
  <c r="N165" i="1"/>
  <c r="M165" i="1"/>
  <c r="L165" i="1"/>
  <c r="E165" i="1"/>
  <c r="D165" i="1"/>
  <c r="U164" i="1"/>
  <c r="T164" i="1"/>
  <c r="S164" i="1"/>
  <c r="Q164" i="1"/>
  <c r="P164" i="1"/>
  <c r="O164" i="1"/>
  <c r="N164" i="1"/>
  <c r="K164" i="1"/>
  <c r="G164" i="1"/>
  <c r="F164" i="1"/>
  <c r="E164" i="1"/>
  <c r="D164" i="1"/>
  <c r="U163" i="1"/>
  <c r="S163" i="1"/>
  <c r="R163" i="1"/>
  <c r="Q163" i="1"/>
  <c r="P163" i="1"/>
  <c r="I163" i="1"/>
  <c r="H163" i="1"/>
  <c r="G163" i="1"/>
  <c r="F163" i="1"/>
  <c r="E163" i="1"/>
  <c r="D163" i="1"/>
  <c r="U162" i="1"/>
  <c r="T162" i="1"/>
  <c r="S162" i="1"/>
  <c r="R162" i="1"/>
  <c r="O162" i="1"/>
  <c r="K162" i="1"/>
  <c r="J162" i="1"/>
  <c r="I162" i="1"/>
  <c r="H162" i="1"/>
  <c r="G162" i="1"/>
  <c r="E162" i="1"/>
  <c r="D162" i="1"/>
  <c r="U161" i="1"/>
  <c r="T161" i="1"/>
  <c r="M161" i="1"/>
  <c r="L161" i="1"/>
  <c r="K161" i="1"/>
  <c r="J161" i="1"/>
  <c r="I161" i="1"/>
  <c r="G161" i="1"/>
  <c r="F161" i="1"/>
  <c r="E161" i="1"/>
  <c r="D161" i="1"/>
  <c r="O160" i="1"/>
  <c r="N160" i="1"/>
  <c r="M160" i="1"/>
  <c r="L160" i="1"/>
  <c r="K160" i="1"/>
  <c r="I160" i="1"/>
  <c r="H160" i="1"/>
  <c r="G160" i="1"/>
  <c r="F160" i="1"/>
  <c r="E160" i="1"/>
  <c r="Q159" i="1"/>
  <c r="P159" i="1"/>
  <c r="O159" i="1"/>
  <c r="N159" i="1"/>
  <c r="M159" i="1"/>
  <c r="K159" i="1"/>
  <c r="J159" i="1"/>
  <c r="I159" i="1"/>
  <c r="H159" i="1"/>
  <c r="E159" i="1"/>
  <c r="S158" i="1"/>
  <c r="R158" i="1"/>
  <c r="Q158" i="1"/>
  <c r="P158" i="1"/>
  <c r="O158" i="1"/>
  <c r="M158" i="1"/>
  <c r="L158" i="1"/>
  <c r="K158" i="1"/>
  <c r="J158" i="1"/>
  <c r="E158" i="1"/>
  <c r="U157" i="1"/>
  <c r="T157" i="1"/>
  <c r="S157" i="1"/>
  <c r="R157" i="1"/>
  <c r="Q157" i="1"/>
  <c r="O157" i="1"/>
  <c r="N157" i="1"/>
  <c r="M157" i="1"/>
  <c r="L157" i="1"/>
  <c r="E157" i="1"/>
  <c r="D157" i="1"/>
  <c r="U156" i="1"/>
  <c r="T156" i="1"/>
  <c r="S156" i="1"/>
  <c r="Q156" i="1"/>
  <c r="P156" i="1"/>
  <c r="O156" i="1"/>
  <c r="N156" i="1"/>
  <c r="G156" i="1"/>
  <c r="F156" i="1"/>
  <c r="E156" i="1"/>
  <c r="D156" i="1"/>
  <c r="U155" i="1"/>
  <c r="S155" i="1"/>
  <c r="R155" i="1"/>
  <c r="Q155" i="1"/>
  <c r="P155" i="1"/>
  <c r="I155" i="1"/>
  <c r="H155" i="1"/>
  <c r="G155" i="1"/>
  <c r="F155" i="1"/>
  <c r="E155" i="1"/>
  <c r="D155" i="1"/>
  <c r="U154" i="1"/>
  <c r="T154" i="1"/>
  <c r="S154" i="1"/>
  <c r="R154" i="1"/>
  <c r="K154" i="1"/>
  <c r="J154" i="1"/>
  <c r="I154" i="1"/>
  <c r="H154" i="1"/>
  <c r="G154" i="1"/>
  <c r="E154" i="1"/>
  <c r="D154" i="1"/>
  <c r="U153" i="1"/>
  <c r="T153" i="1"/>
  <c r="M153" i="1"/>
  <c r="L153" i="1"/>
  <c r="K153" i="1"/>
  <c r="J153" i="1"/>
  <c r="I153" i="1"/>
  <c r="G153" i="1"/>
  <c r="F153" i="1"/>
  <c r="E153" i="1"/>
  <c r="D153" i="1"/>
  <c r="O152" i="1"/>
  <c r="N152" i="1"/>
  <c r="M152" i="1"/>
  <c r="L152" i="1"/>
  <c r="K152" i="1"/>
  <c r="I152" i="1"/>
  <c r="H152" i="1"/>
  <c r="G152" i="1"/>
  <c r="F152" i="1"/>
  <c r="E152" i="1"/>
  <c r="Q151" i="1"/>
  <c r="P151" i="1"/>
  <c r="O151" i="1"/>
  <c r="N151" i="1"/>
  <c r="M151" i="1"/>
  <c r="K151" i="1"/>
  <c r="J151" i="1"/>
  <c r="I151" i="1"/>
  <c r="H151" i="1"/>
  <c r="E151" i="1"/>
  <c r="S150" i="1"/>
  <c r="R150" i="1"/>
  <c r="Q150" i="1"/>
  <c r="P150" i="1"/>
  <c r="O150" i="1"/>
  <c r="M150" i="1"/>
  <c r="L150" i="1"/>
  <c r="K150" i="1"/>
  <c r="J150" i="1"/>
  <c r="E150" i="1"/>
  <c r="U149" i="1"/>
  <c r="T149" i="1"/>
  <c r="S149" i="1"/>
  <c r="R149" i="1"/>
  <c r="Q149" i="1"/>
  <c r="O149" i="1"/>
  <c r="N149" i="1"/>
  <c r="M149" i="1"/>
  <c r="L149" i="1"/>
  <c r="E149" i="1"/>
  <c r="D149" i="1"/>
  <c r="U148" i="1"/>
  <c r="T148" i="1"/>
  <c r="S148" i="1"/>
  <c r="Q148" i="1"/>
  <c r="P148" i="1"/>
  <c r="O148" i="1"/>
  <c r="N148" i="1"/>
  <c r="G148" i="1"/>
  <c r="F148" i="1"/>
  <c r="E148" i="1"/>
  <c r="D148" i="1"/>
  <c r="U147" i="1"/>
  <c r="S147" i="1"/>
  <c r="R147" i="1"/>
  <c r="Q147" i="1"/>
  <c r="P147" i="1"/>
  <c r="I147" i="1"/>
  <c r="H147" i="1"/>
  <c r="G147" i="1"/>
  <c r="F147" i="1"/>
  <c r="E147" i="1"/>
  <c r="D147" i="1"/>
  <c r="U146" i="1"/>
  <c r="T146" i="1"/>
  <c r="S146" i="1"/>
  <c r="R146" i="1"/>
  <c r="K146" i="1"/>
  <c r="J146" i="1"/>
  <c r="I146" i="1"/>
  <c r="H146" i="1"/>
  <c r="G146" i="1"/>
  <c r="E146" i="1"/>
  <c r="D146" i="1"/>
  <c r="U145" i="1"/>
  <c r="T145" i="1"/>
  <c r="M145" i="1"/>
  <c r="L145" i="1"/>
  <c r="K145" i="1"/>
  <c r="J145" i="1"/>
  <c r="I145" i="1"/>
  <c r="G145" i="1"/>
  <c r="F145" i="1"/>
  <c r="E145" i="1"/>
  <c r="D145" i="1"/>
  <c r="O144" i="1"/>
  <c r="N144" i="1"/>
  <c r="M144" i="1"/>
  <c r="L144" i="1"/>
  <c r="K144" i="1"/>
  <c r="I144" i="1"/>
  <c r="H144" i="1"/>
  <c r="G144" i="1"/>
  <c r="F144" i="1"/>
  <c r="E144" i="1"/>
  <c r="Q143" i="1"/>
  <c r="P143" i="1"/>
  <c r="O143" i="1"/>
  <c r="N143" i="1"/>
  <c r="M143" i="1"/>
  <c r="K143" i="1"/>
  <c r="J143" i="1"/>
  <c r="I143" i="1"/>
  <c r="H143" i="1"/>
  <c r="E143" i="1"/>
  <c r="S142" i="1"/>
  <c r="R142" i="1"/>
  <c r="Q142" i="1"/>
  <c r="P142" i="1"/>
  <c r="O142" i="1"/>
  <c r="M142" i="1"/>
  <c r="L142" i="1"/>
  <c r="K142" i="1"/>
  <c r="J142" i="1"/>
  <c r="E142" i="1"/>
  <c r="U141" i="1"/>
  <c r="T141" i="1"/>
  <c r="S141" i="1"/>
  <c r="R141" i="1"/>
  <c r="Q141" i="1"/>
  <c r="O141" i="1"/>
  <c r="N141" i="1"/>
  <c r="M141" i="1"/>
  <c r="L141" i="1"/>
  <c r="E141" i="1"/>
  <c r="D141" i="1"/>
  <c r="U140" i="1"/>
  <c r="T140" i="1"/>
  <c r="S140" i="1"/>
  <c r="Q140" i="1"/>
  <c r="P140" i="1"/>
  <c r="O140" i="1"/>
  <c r="N140" i="1"/>
  <c r="G140" i="1"/>
  <c r="F140" i="1"/>
  <c r="E140" i="1"/>
  <c r="D140" i="1"/>
  <c r="U139" i="1"/>
  <c r="S139" i="1"/>
  <c r="R139" i="1"/>
  <c r="Q139" i="1"/>
  <c r="P139" i="1"/>
  <c r="I139" i="1"/>
  <c r="H139" i="1"/>
  <c r="G139" i="1"/>
  <c r="F139" i="1"/>
  <c r="E139" i="1"/>
  <c r="D139" i="1"/>
  <c r="U138" i="1"/>
  <c r="T138" i="1"/>
  <c r="S138" i="1"/>
  <c r="R138" i="1"/>
  <c r="K138" i="1"/>
  <c r="J138" i="1"/>
  <c r="I138" i="1"/>
  <c r="H138" i="1"/>
  <c r="G138" i="1"/>
  <c r="E138" i="1"/>
  <c r="D138" i="1"/>
  <c r="U137" i="1"/>
  <c r="T137" i="1"/>
  <c r="M137" i="1"/>
  <c r="L137" i="1"/>
  <c r="K137" i="1"/>
  <c r="J137" i="1"/>
  <c r="I137" i="1"/>
  <c r="G137" i="1"/>
  <c r="F137" i="1"/>
  <c r="E137" i="1"/>
  <c r="D137" i="1"/>
  <c r="O136" i="1"/>
  <c r="N136" i="1"/>
  <c r="M136" i="1"/>
  <c r="L136" i="1"/>
  <c r="K136" i="1"/>
  <c r="I136" i="1"/>
  <c r="H136" i="1"/>
  <c r="G136" i="1"/>
  <c r="F136" i="1"/>
  <c r="E136" i="1"/>
  <c r="Q135" i="1"/>
  <c r="P135" i="1"/>
  <c r="O135" i="1"/>
  <c r="N135" i="1"/>
  <c r="M135" i="1"/>
  <c r="K135" i="1"/>
  <c r="J135" i="1"/>
  <c r="I135" i="1"/>
  <c r="H135" i="1"/>
  <c r="E135" i="1"/>
  <c r="S134" i="1"/>
  <c r="R134" i="1"/>
  <c r="Q134" i="1"/>
  <c r="P134" i="1"/>
  <c r="O134" i="1"/>
  <c r="M134" i="1"/>
  <c r="L134" i="1"/>
  <c r="K134" i="1"/>
  <c r="J134" i="1"/>
  <c r="E134" i="1"/>
  <c r="U133" i="1"/>
  <c r="T133" i="1"/>
  <c r="S133" i="1"/>
  <c r="R133" i="1"/>
  <c r="Q133" i="1"/>
  <c r="O133" i="1"/>
  <c r="N133" i="1"/>
  <c r="M133" i="1"/>
  <c r="L133" i="1"/>
  <c r="E133" i="1"/>
  <c r="D133" i="1"/>
  <c r="U132" i="1"/>
  <c r="T132" i="1"/>
  <c r="S132" i="1"/>
  <c r="Q132" i="1"/>
  <c r="P132" i="1"/>
  <c r="O132" i="1"/>
  <c r="N132" i="1"/>
  <c r="G132" i="1"/>
  <c r="F132" i="1"/>
  <c r="E132" i="1"/>
  <c r="D132" i="1"/>
  <c r="U131" i="1"/>
  <c r="S131" i="1"/>
  <c r="R131" i="1"/>
  <c r="Q131" i="1"/>
  <c r="P131" i="1"/>
  <c r="I131" i="1"/>
  <c r="H131" i="1"/>
  <c r="G131" i="1"/>
  <c r="F131" i="1"/>
  <c r="E131" i="1"/>
  <c r="D131" i="1"/>
  <c r="U130" i="1"/>
  <c r="T130" i="1"/>
  <c r="S130" i="1"/>
  <c r="R130" i="1"/>
  <c r="K130" i="1"/>
  <c r="J130" i="1"/>
  <c r="I130" i="1"/>
  <c r="H130" i="1"/>
  <c r="G130" i="1"/>
  <c r="E130" i="1"/>
  <c r="D130" i="1"/>
  <c r="U129" i="1"/>
  <c r="T129" i="1"/>
  <c r="M129" i="1"/>
  <c r="L129" i="1"/>
  <c r="K129" i="1"/>
  <c r="J129" i="1"/>
  <c r="I129" i="1"/>
  <c r="G129" i="1"/>
  <c r="F129" i="1"/>
  <c r="E129" i="1"/>
  <c r="D129" i="1"/>
  <c r="O128" i="1"/>
  <c r="N128" i="1"/>
  <c r="M128" i="1"/>
  <c r="L128" i="1"/>
  <c r="K128" i="1"/>
  <c r="I128" i="1"/>
  <c r="H128" i="1"/>
  <c r="G128" i="1"/>
  <c r="F128" i="1"/>
  <c r="E128" i="1"/>
  <c r="Q127" i="1"/>
  <c r="P127" i="1"/>
  <c r="O127" i="1"/>
  <c r="N127" i="1"/>
  <c r="M127" i="1"/>
  <c r="K127" i="1"/>
  <c r="J127" i="1"/>
  <c r="I127" i="1"/>
  <c r="H127" i="1"/>
  <c r="E127" i="1"/>
  <c r="S126" i="1"/>
  <c r="R126" i="1"/>
  <c r="Q126" i="1"/>
  <c r="P126" i="1"/>
  <c r="O126" i="1"/>
  <c r="M126" i="1"/>
  <c r="L126" i="1"/>
  <c r="K126" i="1"/>
  <c r="J126" i="1"/>
  <c r="E126" i="1"/>
  <c r="U125" i="1"/>
  <c r="T125" i="1"/>
  <c r="S125" i="1"/>
  <c r="R125" i="1"/>
  <c r="Q125" i="1"/>
  <c r="O125" i="1"/>
  <c r="N125" i="1"/>
  <c r="M125" i="1"/>
  <c r="L125" i="1"/>
  <c r="E125" i="1"/>
  <c r="D125" i="1"/>
  <c r="U124" i="1"/>
  <c r="T124" i="1"/>
  <c r="S124" i="1"/>
  <c r="Q124" i="1"/>
  <c r="P124" i="1"/>
  <c r="O124" i="1"/>
  <c r="N124" i="1"/>
  <c r="G124" i="1"/>
  <c r="F124" i="1"/>
  <c r="E124" i="1"/>
  <c r="D124" i="1"/>
  <c r="U123" i="1"/>
  <c r="S123" i="1"/>
  <c r="R123" i="1"/>
  <c r="Q123" i="1"/>
  <c r="P123" i="1"/>
  <c r="I123" i="1"/>
  <c r="H123" i="1"/>
  <c r="G123" i="1"/>
  <c r="F123" i="1"/>
  <c r="E123" i="1"/>
  <c r="D123" i="1"/>
  <c r="U122" i="1"/>
  <c r="T122" i="1"/>
  <c r="S122" i="1"/>
  <c r="R122" i="1"/>
  <c r="K122" i="1"/>
  <c r="J122" i="1"/>
  <c r="I122" i="1"/>
  <c r="H122" i="1"/>
  <c r="G122" i="1"/>
  <c r="E122" i="1"/>
  <c r="D122" i="1"/>
  <c r="U121" i="1"/>
  <c r="T121" i="1"/>
  <c r="M121" i="1"/>
  <c r="L121" i="1"/>
  <c r="K121" i="1"/>
  <c r="J121" i="1"/>
  <c r="I121" i="1"/>
  <c r="G121" i="1"/>
  <c r="F121" i="1"/>
  <c r="E121" i="1"/>
  <c r="D121" i="1"/>
  <c r="O120" i="1"/>
  <c r="N120" i="1"/>
  <c r="M120" i="1"/>
  <c r="L120" i="1"/>
  <c r="K120" i="1"/>
  <c r="I120" i="1"/>
  <c r="H120" i="1"/>
  <c r="G120" i="1"/>
  <c r="F120" i="1"/>
  <c r="E120" i="1"/>
  <c r="Q119" i="1"/>
  <c r="P119" i="1"/>
  <c r="O119" i="1"/>
  <c r="N119" i="1"/>
  <c r="K119" i="1"/>
  <c r="J119" i="1"/>
  <c r="I119" i="1"/>
  <c r="H119" i="1"/>
  <c r="E119" i="1"/>
  <c r="S118" i="1"/>
  <c r="R118" i="1"/>
  <c r="Q118" i="1"/>
  <c r="P118" i="1"/>
  <c r="O118" i="1"/>
  <c r="M118" i="1"/>
  <c r="L118" i="1"/>
  <c r="K118" i="1"/>
  <c r="J118" i="1"/>
  <c r="E118" i="1"/>
  <c r="U117" i="1"/>
  <c r="T117" i="1"/>
  <c r="S117" i="1"/>
  <c r="R117" i="1"/>
  <c r="Q117" i="1"/>
  <c r="O117" i="1"/>
  <c r="N117" i="1"/>
  <c r="M117" i="1"/>
  <c r="L117" i="1"/>
  <c r="E117" i="1"/>
  <c r="D117" i="1"/>
  <c r="U116" i="1"/>
  <c r="T116" i="1"/>
  <c r="S116" i="1"/>
  <c r="Q116" i="1"/>
  <c r="P116" i="1"/>
  <c r="O116" i="1"/>
  <c r="N116" i="1"/>
  <c r="G116" i="1"/>
  <c r="F116" i="1"/>
  <c r="E116" i="1"/>
  <c r="D116" i="1"/>
  <c r="U115" i="1"/>
  <c r="S115" i="1"/>
  <c r="R115" i="1"/>
  <c r="Q115" i="1"/>
  <c r="P115" i="1"/>
  <c r="I115" i="1"/>
  <c r="H115" i="1"/>
  <c r="G115" i="1"/>
  <c r="F115" i="1"/>
  <c r="E115" i="1"/>
  <c r="U114" i="1"/>
  <c r="T114" i="1"/>
  <c r="S114" i="1"/>
  <c r="R114" i="1"/>
  <c r="K114" i="1"/>
  <c r="J114" i="1"/>
  <c r="I114" i="1"/>
  <c r="H114" i="1"/>
  <c r="G114" i="1"/>
  <c r="E114" i="1"/>
  <c r="D114" i="1"/>
  <c r="U113" i="1"/>
  <c r="T113" i="1"/>
  <c r="M113" i="1"/>
  <c r="L113" i="1"/>
  <c r="K113" i="1"/>
  <c r="J113" i="1"/>
  <c r="G113" i="1"/>
  <c r="F113" i="1"/>
  <c r="E113" i="1"/>
  <c r="D113" i="1"/>
  <c r="O112" i="1"/>
  <c r="N112" i="1"/>
  <c r="M112" i="1"/>
  <c r="L112" i="1"/>
  <c r="K112" i="1"/>
  <c r="I112" i="1"/>
  <c r="H112" i="1"/>
  <c r="G112" i="1"/>
  <c r="F112" i="1"/>
  <c r="E112" i="1"/>
  <c r="Q111" i="1"/>
  <c r="P111" i="1"/>
  <c r="O111" i="1"/>
  <c r="N111" i="1"/>
  <c r="M111" i="1"/>
  <c r="K111" i="1"/>
  <c r="J111" i="1"/>
  <c r="I111" i="1"/>
  <c r="H111" i="1"/>
  <c r="E111" i="1"/>
  <c r="S110" i="1"/>
  <c r="R110" i="1"/>
  <c r="Q110" i="1"/>
  <c r="P110" i="1"/>
  <c r="O110" i="1"/>
  <c r="M110" i="1"/>
  <c r="L110" i="1"/>
  <c r="K110" i="1"/>
  <c r="J110" i="1"/>
  <c r="E110" i="1"/>
  <c r="U109" i="1"/>
  <c r="T109" i="1"/>
  <c r="S109" i="1"/>
  <c r="R109" i="1"/>
  <c r="Q109" i="1"/>
  <c r="O109" i="1"/>
  <c r="N109" i="1"/>
  <c r="M109" i="1"/>
  <c r="L109" i="1"/>
  <c r="E109" i="1"/>
  <c r="D109" i="1"/>
  <c r="U108" i="1"/>
  <c r="T108" i="1"/>
  <c r="Q108" i="1"/>
  <c r="P108" i="1"/>
  <c r="O108" i="1"/>
  <c r="N108" i="1"/>
  <c r="G108" i="1"/>
  <c r="F108" i="1"/>
  <c r="E108" i="1"/>
  <c r="D108" i="1"/>
  <c r="U107" i="1"/>
  <c r="S107" i="1"/>
  <c r="R107" i="1"/>
  <c r="Q107" i="1"/>
  <c r="P107" i="1"/>
  <c r="I107" i="1"/>
  <c r="H107" i="1"/>
  <c r="G107" i="1"/>
  <c r="F107" i="1"/>
  <c r="E107" i="1"/>
  <c r="D107" i="1"/>
  <c r="U106" i="1"/>
  <c r="T106" i="1"/>
  <c r="S106" i="1"/>
  <c r="R106" i="1"/>
  <c r="K106" i="1"/>
  <c r="J106" i="1"/>
  <c r="I106" i="1"/>
  <c r="H106" i="1"/>
  <c r="G106" i="1"/>
  <c r="E106" i="1"/>
  <c r="D106" i="1"/>
  <c r="U105" i="1"/>
  <c r="T105" i="1"/>
  <c r="M105" i="1"/>
  <c r="L105" i="1"/>
  <c r="K105" i="1"/>
  <c r="J105" i="1"/>
  <c r="I105" i="1"/>
  <c r="G105" i="1"/>
  <c r="F105" i="1"/>
  <c r="E105" i="1"/>
  <c r="D105" i="1"/>
  <c r="O104" i="1"/>
  <c r="N104" i="1"/>
  <c r="M104" i="1"/>
  <c r="L104" i="1"/>
  <c r="I104" i="1"/>
  <c r="H104" i="1"/>
  <c r="G104" i="1"/>
  <c r="F104" i="1"/>
  <c r="E104" i="1"/>
  <c r="Q103" i="1"/>
  <c r="P103" i="1"/>
  <c r="O103" i="1"/>
  <c r="N103" i="1"/>
  <c r="M103" i="1"/>
  <c r="K103" i="1"/>
  <c r="J103" i="1"/>
  <c r="I103" i="1"/>
  <c r="H103" i="1"/>
  <c r="E103" i="1"/>
  <c r="S102" i="1"/>
  <c r="R102" i="1"/>
  <c r="Q102" i="1"/>
  <c r="P102" i="1"/>
  <c r="O102" i="1"/>
  <c r="M102" i="1"/>
  <c r="L102" i="1"/>
  <c r="K102" i="1"/>
  <c r="J102" i="1"/>
  <c r="E102" i="1"/>
  <c r="U101" i="1"/>
  <c r="T101" i="1"/>
  <c r="S101" i="1"/>
  <c r="R101" i="1"/>
  <c r="Q101" i="1"/>
  <c r="O101" i="1"/>
  <c r="N101" i="1"/>
  <c r="M101" i="1"/>
  <c r="L101" i="1"/>
  <c r="E101" i="1"/>
  <c r="D101" i="1"/>
  <c r="U100" i="1"/>
  <c r="T100" i="1"/>
  <c r="S100" i="1"/>
  <c r="Q100" i="1"/>
  <c r="P100" i="1"/>
  <c r="O100" i="1"/>
  <c r="N100" i="1"/>
  <c r="G100" i="1"/>
  <c r="F100" i="1"/>
  <c r="E100" i="1"/>
  <c r="D100" i="1"/>
  <c r="S99" i="1"/>
  <c r="R99" i="1"/>
  <c r="Q99" i="1"/>
  <c r="P99" i="1"/>
  <c r="I99" i="1"/>
  <c r="H99" i="1"/>
  <c r="G99" i="1"/>
  <c r="F99" i="1"/>
  <c r="E99" i="1"/>
  <c r="D99" i="1"/>
  <c r="U98" i="1"/>
  <c r="T98" i="1"/>
  <c r="S98" i="1"/>
  <c r="R98" i="1"/>
  <c r="K98" i="1"/>
  <c r="J98" i="1"/>
  <c r="I98" i="1"/>
  <c r="H98" i="1"/>
  <c r="G98" i="1"/>
  <c r="E98" i="1"/>
  <c r="D98" i="1"/>
  <c r="U97" i="1"/>
  <c r="T97" i="1"/>
  <c r="M97" i="1"/>
  <c r="L97" i="1"/>
  <c r="K97" i="1"/>
  <c r="J97" i="1"/>
  <c r="I97" i="1"/>
  <c r="G97" i="1"/>
  <c r="F97" i="1"/>
  <c r="E97" i="1"/>
  <c r="D97" i="1"/>
  <c r="O96" i="1"/>
  <c r="N96" i="1"/>
  <c r="M96" i="1"/>
  <c r="L96" i="1"/>
  <c r="K96" i="1"/>
  <c r="I96" i="1"/>
  <c r="H96" i="1"/>
  <c r="G96" i="1"/>
  <c r="F96" i="1"/>
  <c r="E96" i="1"/>
  <c r="T95" i="1"/>
  <c r="S95" i="1"/>
  <c r="R95" i="1"/>
  <c r="Q95" i="1"/>
  <c r="P95" i="1"/>
  <c r="N95" i="1"/>
  <c r="M95" i="1"/>
  <c r="L95" i="1"/>
  <c r="K95" i="1"/>
  <c r="D95" i="1"/>
  <c r="U94" i="1"/>
  <c r="T94" i="1"/>
  <c r="S94" i="1"/>
  <c r="Q94" i="1"/>
  <c r="P94" i="1"/>
  <c r="O94" i="1"/>
  <c r="N94" i="1"/>
  <c r="G94" i="1"/>
  <c r="F94" i="1"/>
  <c r="E94" i="1"/>
  <c r="D94" i="1"/>
  <c r="T93" i="1"/>
  <c r="S93" i="1"/>
  <c r="R93" i="1"/>
  <c r="Q93" i="1"/>
  <c r="J93" i="1"/>
  <c r="I93" i="1"/>
  <c r="H93" i="1"/>
  <c r="G93" i="1"/>
  <c r="F93" i="1"/>
  <c r="D93" i="1"/>
  <c r="U92" i="1"/>
  <c r="T92" i="1"/>
  <c r="M92" i="1"/>
  <c r="L92" i="1"/>
  <c r="K92" i="1"/>
  <c r="J92" i="1"/>
  <c r="G92" i="1"/>
  <c r="F92" i="1"/>
  <c r="E92" i="1"/>
  <c r="D92" i="1"/>
  <c r="P91" i="1"/>
  <c r="O91" i="1"/>
  <c r="N91" i="1"/>
  <c r="M91" i="1"/>
  <c r="L91" i="1"/>
  <c r="J91" i="1"/>
  <c r="I91" i="1"/>
  <c r="H91" i="1"/>
  <c r="G91" i="1"/>
  <c r="S90" i="1"/>
  <c r="R90" i="1"/>
  <c r="Q90" i="1"/>
  <c r="P90" i="1"/>
  <c r="M90" i="1"/>
  <c r="L90" i="1"/>
  <c r="K90" i="1"/>
  <c r="J90" i="1"/>
  <c r="U89" i="1"/>
  <c r="T89" i="1"/>
  <c r="S89" i="1"/>
  <c r="R89" i="1"/>
  <c r="P89" i="1"/>
  <c r="O89" i="1"/>
  <c r="N89" i="1"/>
  <c r="M89" i="1"/>
  <c r="F89" i="1"/>
  <c r="E89" i="1"/>
  <c r="D89" i="1"/>
  <c r="S88" i="1"/>
  <c r="R88" i="1"/>
  <c r="Q88" i="1"/>
  <c r="P88" i="1"/>
  <c r="I88" i="1"/>
  <c r="H88" i="1"/>
  <c r="G88" i="1"/>
  <c r="F88" i="1"/>
  <c r="U87" i="1"/>
  <c r="T87" i="1"/>
  <c r="S87" i="1"/>
  <c r="L87" i="1"/>
  <c r="K87" i="1"/>
  <c r="J87" i="1"/>
  <c r="I87" i="1"/>
  <c r="H87" i="1"/>
  <c r="F87" i="1"/>
  <c r="E87" i="1"/>
  <c r="D87" i="1"/>
  <c r="O86" i="1"/>
  <c r="N86" i="1"/>
  <c r="M86" i="1"/>
  <c r="L86" i="1"/>
  <c r="I86" i="1"/>
  <c r="H86" i="1"/>
  <c r="G86" i="1"/>
  <c r="F86" i="1"/>
  <c r="R85" i="1"/>
  <c r="Q85" i="1"/>
  <c r="P85" i="1"/>
  <c r="O85" i="1"/>
  <c r="N85" i="1"/>
  <c r="L85" i="1"/>
  <c r="K85" i="1"/>
  <c r="J85" i="1"/>
  <c r="I85" i="1"/>
  <c r="U84" i="1"/>
  <c r="T84" i="1"/>
  <c r="S84" i="1"/>
  <c r="R84" i="1"/>
  <c r="Q84" i="1"/>
  <c r="O84" i="1"/>
  <c r="N84" i="1"/>
  <c r="M84" i="1"/>
  <c r="L84" i="1"/>
  <c r="E84" i="1"/>
  <c r="D84" i="1"/>
  <c r="U83" i="1"/>
  <c r="T83" i="1"/>
  <c r="R83" i="1"/>
  <c r="Q83" i="1"/>
  <c r="P83" i="1"/>
  <c r="O83" i="1"/>
  <c r="H83" i="1"/>
  <c r="G83" i="1"/>
  <c r="F83" i="1"/>
  <c r="E83" i="1"/>
  <c r="D83" i="1"/>
  <c r="U82" i="1"/>
  <c r="T82" i="1"/>
  <c r="S82" i="1"/>
  <c r="R82" i="1"/>
  <c r="K82" i="1"/>
  <c r="J82" i="1"/>
  <c r="I82" i="1"/>
  <c r="H82" i="1"/>
  <c r="G82" i="1"/>
  <c r="E82" i="1"/>
  <c r="D82" i="1"/>
  <c r="U81" i="1"/>
  <c r="N81" i="1"/>
  <c r="M81" i="1"/>
  <c r="L81" i="1"/>
  <c r="K81" i="1"/>
  <c r="J81" i="1"/>
  <c r="H81" i="1"/>
  <c r="G81" i="1"/>
  <c r="F81" i="1"/>
  <c r="E81" i="1"/>
  <c r="Q80" i="1"/>
  <c r="P80" i="1"/>
  <c r="O80" i="1"/>
  <c r="N80" i="1"/>
  <c r="M80" i="1"/>
  <c r="K80" i="1"/>
  <c r="J80" i="1"/>
  <c r="I80" i="1"/>
  <c r="H80" i="1"/>
  <c r="T79" i="1"/>
  <c r="S79" i="1"/>
  <c r="R79" i="1"/>
  <c r="Q79" i="1"/>
  <c r="N79" i="1"/>
  <c r="M79" i="1"/>
  <c r="L79" i="1"/>
  <c r="K79" i="1"/>
  <c r="D79" i="1"/>
  <c r="U78" i="1"/>
  <c r="T78" i="1"/>
  <c r="S78" i="1"/>
  <c r="Q78" i="1"/>
  <c r="P78" i="1"/>
  <c r="O78" i="1"/>
  <c r="N78" i="1"/>
  <c r="G78" i="1"/>
  <c r="F78" i="1"/>
  <c r="E78" i="1"/>
  <c r="D78" i="1"/>
  <c r="U77" i="1"/>
  <c r="T77" i="1"/>
  <c r="M77" i="1"/>
  <c r="L77" i="1"/>
  <c r="K77" i="1"/>
  <c r="J77" i="1"/>
  <c r="I77" i="1"/>
  <c r="G77" i="1"/>
  <c r="F77" i="1"/>
  <c r="E77" i="1"/>
  <c r="D77" i="1"/>
  <c r="P76" i="1"/>
  <c r="O76" i="1"/>
  <c r="N76" i="1"/>
  <c r="M76" i="1"/>
  <c r="J76" i="1"/>
  <c r="I76" i="1"/>
  <c r="H76" i="1"/>
  <c r="G76" i="1"/>
  <c r="S75" i="1"/>
  <c r="R75" i="1"/>
  <c r="Q75" i="1"/>
  <c r="P75" i="1"/>
  <c r="O75" i="1"/>
  <c r="M75" i="1"/>
  <c r="L75" i="1"/>
  <c r="K75" i="1"/>
  <c r="J75" i="1"/>
  <c r="U74" i="1"/>
  <c r="T74" i="1"/>
  <c r="S74" i="1"/>
  <c r="R74" i="1"/>
  <c r="P74" i="1"/>
  <c r="O74" i="1"/>
  <c r="N74" i="1"/>
  <c r="M74" i="1"/>
  <c r="F74" i="1"/>
  <c r="E74" i="1"/>
  <c r="D74" i="1"/>
  <c r="U73" i="1"/>
  <c r="S73" i="1"/>
  <c r="R73" i="1"/>
  <c r="Q73" i="1"/>
  <c r="P73" i="1"/>
  <c r="I73" i="1"/>
  <c r="H73" i="1"/>
  <c r="G73" i="1"/>
  <c r="F73" i="1"/>
  <c r="E73" i="1"/>
  <c r="U72" i="1"/>
  <c r="T72" i="1"/>
  <c r="S72" i="1"/>
  <c r="L72" i="1"/>
  <c r="K72" i="1"/>
  <c r="J72" i="1"/>
  <c r="I72" i="1"/>
  <c r="H72" i="1"/>
  <c r="F72" i="1"/>
  <c r="E72" i="1"/>
  <c r="D72" i="1"/>
  <c r="O71" i="1"/>
  <c r="N71" i="1"/>
  <c r="M71" i="1"/>
  <c r="L71" i="1"/>
  <c r="K71" i="1"/>
  <c r="I71" i="1"/>
  <c r="H71" i="1"/>
  <c r="G71" i="1"/>
  <c r="F71" i="1"/>
  <c r="R70" i="1"/>
  <c r="Q70" i="1"/>
  <c r="P70" i="1"/>
  <c r="O70" i="1"/>
  <c r="L70" i="1"/>
  <c r="K70" i="1"/>
  <c r="J70" i="1"/>
  <c r="I70" i="1"/>
  <c r="U69" i="1"/>
  <c r="T69" i="1"/>
  <c r="S69" i="1"/>
  <c r="R69" i="1"/>
  <c r="Q69" i="1"/>
  <c r="O69" i="1"/>
  <c r="N69" i="1"/>
  <c r="M69" i="1"/>
  <c r="L69" i="1"/>
  <c r="E69" i="1"/>
  <c r="D69" i="1"/>
  <c r="U68" i="1"/>
  <c r="R68" i="1"/>
  <c r="Q68" i="1"/>
  <c r="P68" i="1"/>
  <c r="O68" i="1"/>
  <c r="H68" i="1"/>
  <c r="G68" i="1"/>
  <c r="F68" i="1"/>
  <c r="E68" i="1"/>
  <c r="D68" i="1"/>
  <c r="U67" i="1"/>
  <c r="T67" i="1"/>
  <c r="S67" i="1"/>
  <c r="R67" i="1"/>
  <c r="K67" i="1"/>
  <c r="J67" i="1"/>
  <c r="I67" i="1"/>
  <c r="H67" i="1"/>
  <c r="E67" i="1"/>
  <c r="D67" i="1"/>
  <c r="U66" i="1"/>
  <c r="N66" i="1"/>
  <c r="M66" i="1"/>
  <c r="L66" i="1"/>
  <c r="K66" i="1"/>
  <c r="J66" i="1"/>
  <c r="H66" i="1"/>
  <c r="G66" i="1"/>
  <c r="F66" i="1"/>
  <c r="E66" i="1"/>
  <c r="Q65" i="1"/>
  <c r="P65" i="1"/>
  <c r="O65" i="1"/>
  <c r="N65" i="1"/>
  <c r="M65" i="1"/>
  <c r="K65" i="1"/>
  <c r="J65" i="1"/>
  <c r="I65" i="1"/>
  <c r="H65" i="1"/>
  <c r="T64" i="1"/>
  <c r="S64" i="1"/>
  <c r="R64" i="1"/>
  <c r="Q64" i="1"/>
  <c r="P64" i="1"/>
  <c r="N64" i="1"/>
  <c r="M64" i="1"/>
  <c r="L64" i="1"/>
  <c r="K64" i="1"/>
  <c r="D64" i="1"/>
  <c r="U63" i="1"/>
  <c r="T63" i="1"/>
  <c r="Q63" i="1"/>
  <c r="P63" i="1"/>
  <c r="O63" i="1"/>
  <c r="N63" i="1"/>
  <c r="G63" i="1"/>
  <c r="F63" i="1"/>
  <c r="E63" i="1"/>
  <c r="D63" i="1"/>
  <c r="T62" i="1"/>
  <c r="S62" i="1"/>
  <c r="R62" i="1"/>
  <c r="Q62" i="1"/>
  <c r="J62" i="1"/>
  <c r="I62" i="1"/>
  <c r="H62" i="1"/>
  <c r="G62" i="1"/>
  <c r="D62" i="1"/>
  <c r="U61" i="1"/>
  <c r="T61" i="1"/>
  <c r="M61" i="1"/>
  <c r="L61" i="1"/>
  <c r="K61" i="1"/>
  <c r="J61" i="1"/>
  <c r="I61" i="1"/>
  <c r="G61" i="1"/>
  <c r="F61" i="1"/>
  <c r="E61" i="1"/>
  <c r="D61" i="1"/>
  <c r="P60" i="1"/>
  <c r="O60" i="1"/>
  <c r="N60" i="1"/>
  <c r="M60" i="1"/>
  <c r="L60" i="1"/>
  <c r="J60" i="1"/>
  <c r="I60" i="1"/>
  <c r="H60" i="1"/>
  <c r="G60" i="1"/>
  <c r="S59" i="1"/>
  <c r="R59" i="1"/>
  <c r="Q59" i="1"/>
  <c r="P59" i="1"/>
  <c r="M59" i="1"/>
  <c r="L59" i="1"/>
  <c r="K59" i="1"/>
  <c r="J59" i="1"/>
  <c r="U58" i="1"/>
  <c r="T58" i="1"/>
  <c r="S58" i="1"/>
  <c r="P58" i="1"/>
  <c r="O58" i="1"/>
  <c r="N58" i="1"/>
  <c r="M58" i="1"/>
  <c r="F58" i="1"/>
  <c r="E58" i="1"/>
  <c r="D58" i="1"/>
  <c r="S57" i="1"/>
  <c r="R57" i="1"/>
  <c r="Q57" i="1"/>
  <c r="P57" i="1"/>
  <c r="I57" i="1"/>
  <c r="H57" i="1"/>
  <c r="G57" i="1"/>
  <c r="F57" i="1"/>
  <c r="U56" i="1"/>
  <c r="T56" i="1"/>
  <c r="S56" i="1"/>
  <c r="L56" i="1"/>
  <c r="K56" i="1"/>
  <c r="J56" i="1"/>
  <c r="I56" i="1"/>
  <c r="H56" i="1"/>
  <c r="F56" i="1"/>
  <c r="E56" i="1"/>
  <c r="D56" i="1"/>
  <c r="O55" i="1"/>
  <c r="N55" i="1"/>
  <c r="M55" i="1"/>
  <c r="L55" i="1"/>
  <c r="I55" i="1"/>
  <c r="H55" i="1"/>
  <c r="G55" i="1"/>
  <c r="F55" i="1"/>
  <c r="R54" i="1"/>
  <c r="Q54" i="1"/>
  <c r="P54" i="1"/>
  <c r="O54" i="1"/>
  <c r="L54" i="1"/>
  <c r="K54" i="1"/>
  <c r="J54" i="1"/>
  <c r="I54" i="1"/>
  <c r="U53" i="1"/>
  <c r="T53" i="1"/>
  <c r="S53" i="1"/>
  <c r="R53" i="1"/>
  <c r="Q53" i="1"/>
  <c r="O53" i="1"/>
  <c r="N53" i="1"/>
  <c r="M53" i="1"/>
  <c r="L53" i="1"/>
  <c r="E53" i="1"/>
  <c r="D53" i="1"/>
  <c r="U52" i="1"/>
  <c r="T52" i="1"/>
  <c r="S52" i="1"/>
  <c r="R52" i="1"/>
  <c r="K52" i="1"/>
  <c r="J52" i="1"/>
  <c r="I52" i="1"/>
  <c r="H52" i="1"/>
  <c r="G52" i="1"/>
  <c r="E52" i="1"/>
  <c r="D52" i="1"/>
  <c r="U51" i="1"/>
  <c r="N51" i="1"/>
  <c r="M51" i="1"/>
  <c r="L51" i="1"/>
  <c r="K51" i="1"/>
  <c r="H51" i="1"/>
  <c r="G51" i="1"/>
  <c r="F51" i="1"/>
  <c r="E51" i="1"/>
  <c r="Q50" i="1"/>
  <c r="P50" i="1"/>
  <c r="O50" i="1"/>
  <c r="N50" i="1"/>
  <c r="M50" i="1"/>
  <c r="K50" i="1"/>
  <c r="J50" i="1"/>
  <c r="I50" i="1"/>
  <c r="H50" i="1"/>
  <c r="T49" i="1"/>
  <c r="S49" i="1"/>
  <c r="R49" i="1"/>
  <c r="Q49" i="1"/>
  <c r="N49" i="1"/>
  <c r="M49" i="1"/>
  <c r="L49" i="1"/>
  <c r="K49" i="1"/>
  <c r="D49" i="1"/>
  <c r="U48" i="1"/>
  <c r="T48" i="1"/>
  <c r="S48" i="1"/>
  <c r="Q48" i="1"/>
  <c r="P48" i="1"/>
  <c r="O48" i="1"/>
  <c r="N48" i="1"/>
  <c r="G48" i="1"/>
  <c r="E48" i="1"/>
  <c r="D48" i="1"/>
  <c r="T47" i="1"/>
  <c r="S47" i="1"/>
  <c r="R47" i="1"/>
  <c r="Q47" i="1"/>
  <c r="J47" i="1"/>
  <c r="I47" i="1"/>
  <c r="H47" i="1"/>
  <c r="G47" i="1"/>
  <c r="F47" i="1"/>
  <c r="D47" i="1"/>
  <c r="U46" i="1"/>
  <c r="T46" i="1"/>
  <c r="M46" i="1"/>
  <c r="K46" i="1"/>
  <c r="J46" i="1"/>
  <c r="G46" i="1"/>
  <c r="F46" i="1"/>
  <c r="E46" i="1"/>
  <c r="D46" i="1"/>
  <c r="P45" i="1"/>
  <c r="O45" i="1"/>
  <c r="N45" i="1"/>
  <c r="M45" i="1"/>
  <c r="L45" i="1"/>
  <c r="J45" i="1"/>
  <c r="I45" i="1"/>
  <c r="H45" i="1"/>
  <c r="G45" i="1"/>
  <c r="S44" i="1"/>
  <c r="R44" i="1"/>
  <c r="Q44" i="1"/>
  <c r="P44" i="1"/>
  <c r="M44" i="1"/>
  <c r="L44" i="1"/>
  <c r="K44" i="1"/>
  <c r="J44" i="1"/>
  <c r="U43" i="1"/>
  <c r="T43" i="1"/>
  <c r="S43" i="1"/>
  <c r="R43" i="1"/>
  <c r="P43" i="1"/>
  <c r="O43" i="1"/>
  <c r="N43" i="1"/>
  <c r="M43" i="1"/>
  <c r="F43" i="1"/>
  <c r="E43" i="1"/>
  <c r="D43" i="1"/>
  <c r="S42" i="1"/>
  <c r="R42" i="1"/>
  <c r="Q42" i="1"/>
  <c r="P42" i="1"/>
  <c r="I42" i="1"/>
  <c r="H42" i="1"/>
  <c r="G42" i="1"/>
  <c r="F42" i="1"/>
  <c r="E42" i="1"/>
  <c r="U41" i="1"/>
  <c r="T41" i="1"/>
  <c r="S41" i="1"/>
  <c r="L41" i="1"/>
  <c r="K41" i="1"/>
  <c r="J41" i="1"/>
  <c r="I41" i="1"/>
  <c r="F41" i="1"/>
  <c r="E41" i="1"/>
  <c r="D41" i="1"/>
  <c r="O40" i="1"/>
  <c r="N40" i="1"/>
  <c r="M40" i="1"/>
  <c r="L40" i="1"/>
  <c r="K40" i="1"/>
  <c r="I40" i="1"/>
  <c r="H40" i="1"/>
  <c r="G40" i="1"/>
  <c r="F40" i="1"/>
  <c r="R39" i="1"/>
  <c r="Q39" i="1"/>
  <c r="P39" i="1"/>
  <c r="O39" i="1"/>
  <c r="L39" i="1"/>
  <c r="K39" i="1"/>
  <c r="J39" i="1"/>
  <c r="I39" i="1"/>
  <c r="U38" i="1"/>
  <c r="S38" i="1"/>
  <c r="R38" i="1"/>
  <c r="Q38" i="1"/>
  <c r="O38" i="1"/>
  <c r="N38" i="1"/>
  <c r="M38" i="1"/>
  <c r="L38" i="1"/>
  <c r="E38" i="1"/>
  <c r="D38" i="1"/>
  <c r="U37" i="1"/>
  <c r="R37" i="1"/>
  <c r="Q37" i="1"/>
  <c r="P37" i="1"/>
  <c r="O37" i="1"/>
  <c r="H37" i="1"/>
  <c r="F37" i="1"/>
  <c r="E37" i="1"/>
  <c r="D37" i="1"/>
  <c r="U36" i="1"/>
  <c r="N36" i="1"/>
  <c r="M36" i="1"/>
  <c r="L36" i="1"/>
  <c r="K36" i="1"/>
  <c r="H36" i="1"/>
  <c r="G36" i="1"/>
  <c r="F36" i="1"/>
  <c r="E36" i="1"/>
  <c r="Q35" i="1"/>
  <c r="O35" i="1"/>
  <c r="N35" i="1"/>
  <c r="K35" i="1"/>
  <c r="J35" i="1"/>
  <c r="I35" i="1"/>
  <c r="H35" i="1"/>
  <c r="T34" i="1"/>
  <c r="S34" i="1"/>
  <c r="R34" i="1"/>
  <c r="Q34" i="1"/>
  <c r="P34" i="1"/>
  <c r="N34" i="1"/>
  <c r="M34" i="1"/>
  <c r="L34" i="1"/>
  <c r="K34" i="1"/>
  <c r="D34" i="1"/>
  <c r="U33" i="1"/>
  <c r="T33" i="1"/>
  <c r="Q33" i="1"/>
  <c r="P33" i="1"/>
  <c r="O33" i="1"/>
  <c r="N33" i="1"/>
  <c r="G33" i="1"/>
  <c r="F33" i="1"/>
  <c r="E33" i="1"/>
  <c r="D33" i="1"/>
  <c r="T32" i="1"/>
  <c r="S32" i="1"/>
  <c r="R32" i="1"/>
  <c r="Q32" i="1"/>
  <c r="J32" i="1"/>
  <c r="I32" i="1"/>
  <c r="H32" i="1"/>
  <c r="G32" i="1"/>
  <c r="F32" i="1"/>
  <c r="D32" i="1"/>
  <c r="U31" i="1"/>
  <c r="T31" i="1"/>
  <c r="M31" i="1"/>
  <c r="L31" i="1"/>
  <c r="K31" i="1"/>
  <c r="J31" i="1"/>
  <c r="G31" i="1"/>
  <c r="F31" i="1"/>
  <c r="E31" i="1"/>
  <c r="D31" i="1"/>
  <c r="P30" i="1"/>
  <c r="N30" i="1"/>
  <c r="M30" i="1"/>
  <c r="L30" i="1"/>
  <c r="J30" i="1"/>
  <c r="I30" i="1"/>
  <c r="H30" i="1"/>
  <c r="G30" i="1"/>
  <c r="S29" i="1"/>
  <c r="Q29" i="1"/>
  <c r="P29" i="1"/>
  <c r="M29" i="1"/>
  <c r="L29" i="1"/>
  <c r="K29" i="1"/>
  <c r="J29" i="1"/>
  <c r="T28" i="1"/>
  <c r="S28" i="1"/>
  <c r="R28" i="1"/>
  <c r="P28" i="1"/>
  <c r="O28" i="1"/>
  <c r="N28" i="1"/>
  <c r="M28" i="1"/>
  <c r="F28" i="1"/>
  <c r="D28" i="1"/>
  <c r="S27" i="1"/>
  <c r="R27" i="1"/>
  <c r="Q27" i="1"/>
  <c r="P27" i="1"/>
  <c r="I27" i="1"/>
  <c r="G27" i="1"/>
  <c r="F27" i="1"/>
  <c r="E27" i="1"/>
  <c r="U26" i="1"/>
  <c r="T26" i="1"/>
  <c r="S26" i="1"/>
  <c r="L26" i="1"/>
  <c r="J26" i="1"/>
  <c r="I26" i="1"/>
  <c r="F26" i="1"/>
  <c r="E26" i="1"/>
  <c r="D26" i="1"/>
  <c r="O25" i="1"/>
  <c r="N25" i="1"/>
  <c r="M25" i="1"/>
  <c r="L25" i="1"/>
  <c r="K25" i="1"/>
  <c r="I25" i="1"/>
  <c r="H25" i="1"/>
  <c r="G25" i="1"/>
  <c r="F25" i="1"/>
  <c r="R24" i="1"/>
  <c r="P24" i="1"/>
  <c r="O24" i="1"/>
  <c r="L24" i="1"/>
  <c r="K24" i="1"/>
  <c r="J24" i="1"/>
  <c r="I24" i="1"/>
  <c r="U23" i="1"/>
  <c r="S23" i="1"/>
  <c r="R23" i="1"/>
  <c r="Q23" i="1"/>
  <c r="O23" i="1"/>
  <c r="N23" i="1"/>
  <c r="M23" i="1"/>
  <c r="L23" i="1"/>
  <c r="E23" i="1"/>
  <c r="U22" i="1"/>
  <c r="R22" i="1"/>
  <c r="Q22" i="1"/>
  <c r="P22" i="1"/>
  <c r="O22" i="1"/>
  <c r="H22" i="1"/>
  <c r="F22" i="1"/>
  <c r="E22" i="1"/>
  <c r="D22" i="1"/>
  <c r="U21" i="1"/>
  <c r="N21" i="1"/>
  <c r="L21" i="1"/>
  <c r="K21" i="1"/>
  <c r="J21" i="1"/>
  <c r="H21" i="1"/>
  <c r="G21" i="1"/>
  <c r="F21" i="1"/>
  <c r="E21" i="1"/>
  <c r="Q20" i="1"/>
  <c r="O20" i="1"/>
  <c r="N20" i="1"/>
  <c r="M20" i="1"/>
  <c r="K20" i="1"/>
  <c r="J20" i="1"/>
  <c r="I20" i="1"/>
  <c r="H20" i="1"/>
  <c r="T19" i="1"/>
  <c r="R19" i="1"/>
  <c r="Q19" i="1"/>
  <c r="N19" i="1"/>
  <c r="M19" i="1"/>
  <c r="L19" i="1"/>
  <c r="K19" i="1"/>
  <c r="D19" i="1"/>
  <c r="U18" i="1"/>
  <c r="T18" i="1"/>
  <c r="S18" i="1"/>
  <c r="Q18" i="1"/>
  <c r="P18" i="1"/>
  <c r="O18" i="1"/>
  <c r="N18" i="1"/>
  <c r="G18" i="1"/>
  <c r="E18" i="1"/>
  <c r="D18" i="1"/>
  <c r="T17" i="1"/>
  <c r="S17" i="1"/>
  <c r="R17" i="1"/>
  <c r="Q17" i="1"/>
  <c r="J17" i="1"/>
  <c r="H17" i="1"/>
  <c r="G17" i="1"/>
  <c r="D17" i="1"/>
  <c r="U16" i="1"/>
  <c r="T16" i="1"/>
  <c r="M16" i="1"/>
  <c r="K16" i="1"/>
  <c r="J16" i="1"/>
  <c r="G16" i="1"/>
  <c r="F16" i="1"/>
  <c r="E16" i="1"/>
  <c r="D16" i="1"/>
  <c r="P15" i="1"/>
  <c r="N15" i="1"/>
  <c r="M15" i="1"/>
  <c r="J15" i="1"/>
  <c r="I15" i="1"/>
  <c r="H15" i="1"/>
  <c r="G15" i="1"/>
  <c r="S14" i="1"/>
  <c r="Q14" i="1"/>
  <c r="P14" i="1"/>
  <c r="M14" i="1"/>
  <c r="L14" i="1"/>
  <c r="K14" i="1"/>
  <c r="J14" i="1"/>
  <c r="G13" i="1"/>
  <c r="F13" i="1"/>
  <c r="E13" i="1"/>
  <c r="D13" i="1"/>
  <c r="G12" i="1"/>
  <c r="F12" i="1"/>
  <c r="E12" i="1"/>
  <c r="D12" i="1"/>
  <c r="G11" i="1"/>
  <c r="F11" i="1"/>
  <c r="E11" i="1"/>
  <c r="D11" i="1"/>
  <c r="G10" i="1"/>
  <c r="F10" i="1"/>
  <c r="E10" i="1"/>
  <c r="D10" i="1"/>
  <c r="G9" i="1"/>
  <c r="F9" i="1"/>
  <c r="E9" i="1"/>
  <c r="D9" i="1"/>
  <c r="G8" i="1"/>
  <c r="F8" i="1"/>
  <c r="E8" i="1"/>
  <c r="D8" i="1"/>
  <c r="G7" i="1"/>
  <c r="F7" i="1"/>
  <c r="E7" i="1"/>
  <c r="D7" i="1"/>
  <c r="G6" i="1"/>
  <c r="F6" i="1"/>
  <c r="E6" i="1"/>
  <c r="D6" i="1"/>
  <c r="G5" i="1"/>
  <c r="F5" i="1"/>
  <c r="E5" i="1"/>
  <c r="D5" i="1"/>
  <c r="G4" i="1"/>
  <c r="F4" i="1"/>
  <c r="E4" i="1"/>
  <c r="D4" i="1"/>
  <c r="G3" i="1"/>
  <c r="F3" i="1"/>
  <c r="E3" i="1"/>
  <c r="D3" i="1"/>
  <c r="M326" i="1" l="1"/>
  <c r="O325" i="1"/>
  <c r="G329" i="1"/>
  <c r="S339" i="1"/>
  <c r="G337" i="1"/>
  <c r="K335" i="1"/>
  <c r="M334" i="1"/>
  <c r="O333" i="1"/>
  <c r="D330" i="1"/>
  <c r="U330" i="1"/>
  <c r="S323" i="1"/>
  <c r="Q324" i="1"/>
  <c r="D322" i="1"/>
  <c r="U322" i="1"/>
  <c r="G321" i="1"/>
  <c r="P19" i="3"/>
  <c r="P326" i="1"/>
  <c r="J22" i="3"/>
  <c r="J329" i="1"/>
  <c r="F24" i="3"/>
  <c r="F331" i="1"/>
  <c r="R26" i="3"/>
  <c r="R333" i="1"/>
  <c r="L29" i="3"/>
  <c r="L336" i="1"/>
  <c r="F32" i="3"/>
  <c r="F339" i="1"/>
  <c r="T33" i="3"/>
  <c r="T340" i="1"/>
  <c r="P35" i="3"/>
  <c r="P342" i="1"/>
  <c r="L37" i="3"/>
  <c r="L344" i="1"/>
  <c r="H39" i="3"/>
  <c r="H346" i="1"/>
  <c r="R42" i="3"/>
  <c r="R349" i="1"/>
  <c r="J14" i="3"/>
  <c r="J321" i="1"/>
  <c r="H15" i="3"/>
  <c r="H322" i="1"/>
  <c r="T17" i="3"/>
  <c r="T324" i="1"/>
  <c r="L21" i="3"/>
  <c r="L328" i="1"/>
  <c r="P27" i="3"/>
  <c r="P334" i="1"/>
  <c r="J30" i="3"/>
  <c r="J337" i="1"/>
  <c r="R34" i="3"/>
  <c r="R341" i="1"/>
  <c r="N36" i="3"/>
  <c r="N343" i="1"/>
  <c r="F40" i="3"/>
  <c r="F347" i="1"/>
  <c r="T41" i="3"/>
  <c r="T348" i="1"/>
  <c r="P43" i="3"/>
  <c r="P350" i="1"/>
  <c r="F16" i="3"/>
  <c r="F323" i="1"/>
  <c r="R18" i="3"/>
  <c r="R325" i="1"/>
  <c r="N20" i="3"/>
  <c r="N327" i="1"/>
  <c r="H23" i="3"/>
  <c r="H330" i="1"/>
  <c r="T25" i="3"/>
  <c r="T332" i="1"/>
  <c r="N28" i="3"/>
  <c r="N335" i="1"/>
  <c r="J38" i="3"/>
  <c r="J345" i="1"/>
  <c r="H31" i="3"/>
  <c r="H338" i="1"/>
  <c r="G13" i="7"/>
  <c r="S12" i="11"/>
  <c r="G7" i="8"/>
  <c r="U7" i="2"/>
  <c r="S6" i="12"/>
  <c r="S7" i="11"/>
  <c r="G8" i="7"/>
  <c r="H8" i="3"/>
  <c r="F7" i="13"/>
  <c r="F5" i="11"/>
  <c r="F10" i="11"/>
  <c r="S11" i="11"/>
  <c r="G12" i="7"/>
  <c r="G4" i="9"/>
  <c r="U4" i="3"/>
  <c r="S3" i="13"/>
  <c r="S4" i="12"/>
  <c r="G5" i="8"/>
  <c r="U5" i="2"/>
  <c r="F2" i="12"/>
  <c r="G12" i="9"/>
  <c r="U12" i="3"/>
  <c r="S11" i="13"/>
  <c r="U9" i="2"/>
  <c r="S8" i="12"/>
  <c r="G9" i="8"/>
  <c r="G5" i="7"/>
  <c r="S4" i="11"/>
  <c r="G10" i="7"/>
  <c r="S9" i="11"/>
  <c r="S12" i="12"/>
  <c r="G13" i="8"/>
  <c r="U13" i="2"/>
  <c r="F10" i="12"/>
  <c r="F2" i="11"/>
  <c r="U6" i="3"/>
  <c r="S5" i="13"/>
  <c r="G6" i="9"/>
  <c r="S3" i="11"/>
  <c r="G4" i="7"/>
  <c r="S9" i="13"/>
  <c r="G10" i="9"/>
  <c r="U10" i="3"/>
  <c r="G7" i="11"/>
  <c r="U6" i="2"/>
  <c r="U3" i="3"/>
  <c r="S4" i="3"/>
  <c r="M7" i="3"/>
  <c r="K8" i="3"/>
  <c r="U11" i="3"/>
  <c r="S12" i="3"/>
  <c r="S2" i="11"/>
  <c r="S10" i="11"/>
  <c r="M2" i="12"/>
  <c r="K3" i="12"/>
  <c r="S7" i="12"/>
  <c r="M10" i="12"/>
  <c r="K11" i="12"/>
  <c r="S4" i="13"/>
  <c r="M7" i="13"/>
  <c r="K8" i="13"/>
  <c r="S12" i="13"/>
  <c r="G8" i="8"/>
  <c r="G5" i="9"/>
  <c r="G13" i="9"/>
  <c r="N2" i="12"/>
  <c r="N10" i="12"/>
  <c r="N7" i="13"/>
  <c r="I5" i="12"/>
  <c r="Q9" i="12"/>
  <c r="I2" i="13"/>
  <c r="Q6" i="13"/>
  <c r="I10" i="13"/>
  <c r="N3" i="12"/>
  <c r="J5" i="12"/>
  <c r="R9" i="12"/>
  <c r="N11" i="12"/>
  <c r="J2" i="13"/>
  <c r="R6" i="13"/>
  <c r="N8" i="13"/>
  <c r="J10" i="13"/>
  <c r="G9" i="7"/>
  <c r="G6" i="8"/>
  <c r="G3" i="9"/>
  <c r="G11" i="9"/>
  <c r="T9" i="9"/>
  <c r="G3" i="11"/>
  <c r="S5" i="11"/>
  <c r="G11" i="11"/>
  <c r="S2" i="12"/>
  <c r="K6" i="12"/>
  <c r="G8" i="12"/>
  <c r="S10" i="12"/>
  <c r="K3" i="13"/>
  <c r="G5" i="13"/>
  <c r="S7" i="13"/>
  <c r="K11" i="13"/>
  <c r="L6" i="12"/>
  <c r="L3" i="13"/>
  <c r="G4" i="11"/>
  <c r="G12" i="11"/>
  <c r="Q4" i="12"/>
  <c r="O5" i="12"/>
  <c r="I8" i="12"/>
  <c r="G9" i="12"/>
  <c r="Q12" i="12"/>
  <c r="O2" i="13"/>
  <c r="I5" i="13"/>
  <c r="G6" i="13"/>
  <c r="Q9" i="13"/>
  <c r="O10" i="13"/>
  <c r="R4" i="12"/>
  <c r="J8" i="12"/>
  <c r="R12" i="12"/>
  <c r="J5" i="13"/>
  <c r="R9" i="13"/>
  <c r="U3" i="2"/>
  <c r="U11" i="2"/>
  <c r="U8" i="3"/>
  <c r="T10" i="8"/>
  <c r="T7" i="9"/>
  <c r="H13" i="3" l="1"/>
  <c r="F12" i="13"/>
  <c r="H6" i="3"/>
  <c r="F5" i="13"/>
  <c r="F8" i="12"/>
  <c r="H5" i="3"/>
  <c r="F4" i="13"/>
  <c r="F7" i="12"/>
  <c r="H12" i="3"/>
  <c r="F11" i="13"/>
  <c r="F7" i="11"/>
  <c r="G7" i="9"/>
  <c r="U7" i="3"/>
  <c r="S6" i="13"/>
  <c r="F12" i="12"/>
  <c r="G10" i="8"/>
  <c r="U10" i="2"/>
  <c r="S9" i="12"/>
  <c r="F4" i="12"/>
  <c r="U9" i="3"/>
  <c r="G9" i="9"/>
  <c r="S8" i="13"/>
  <c r="F9" i="13"/>
  <c r="H10" i="3"/>
  <c r="F9" i="11"/>
  <c r="H11" i="3"/>
  <c r="F10" i="13"/>
  <c r="F6" i="12"/>
  <c r="H3" i="3"/>
  <c r="F2" i="13"/>
  <c r="F3" i="11"/>
  <c r="H4" i="3"/>
  <c r="F3" i="13"/>
  <c r="F5" i="12"/>
  <c r="F11" i="11"/>
  <c r="F8" i="11"/>
  <c r="F4" i="11"/>
  <c r="F12" i="11"/>
  <c r="H7" i="3" l="1"/>
  <c r="F6" i="13"/>
  <c r="F8" i="13"/>
  <c r="H9" i="3"/>
  <c r="F9" i="12"/>
</calcChain>
</file>

<file path=xl/sharedStrings.xml><?xml version="1.0" encoding="utf-8"?>
<sst xmlns="http://schemas.openxmlformats.org/spreadsheetml/2006/main" count="1824" uniqueCount="487">
  <si>
    <t>SISTEMA MUNICIPAL DE GESTION DE RESULTADOS</t>
  </si>
  <si>
    <t>PERIODO REPORTADO</t>
  </si>
  <si>
    <t>OCTUBRE 2024-SEPTIEMBRE 2025</t>
  </si>
  <si>
    <t>COORDINACION</t>
  </si>
  <si>
    <t>DEPARTAMENTO</t>
  </si>
  <si>
    <t>INDICADORES</t>
  </si>
  <si>
    <t>META ANUAL</t>
  </si>
  <si>
    <t>UNIDAD DE MEDIDA</t>
  </si>
  <si>
    <t>TIPO DE INDICADOR</t>
  </si>
  <si>
    <t>MEDIO DE VERIFICACION</t>
  </si>
  <si>
    <t xml:space="preserve">% AVANCE </t>
  </si>
  <si>
    <t>OCTUBRE</t>
  </si>
  <si>
    <t>NOVIEMBRE</t>
  </si>
  <si>
    <t>DICIEMBRE</t>
  </si>
  <si>
    <t xml:space="preserve">ENERO 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</si>
  <si>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</si>
  <si>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</si>
  <si>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</si>
  <si>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</si>
  <si>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</si>
  <si>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</si>
  <si>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</si>
  <si>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</si>
  <si>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SUMATORIA TOTAL</t>
  </si>
  <si>
    <t>PRESIDENCIA</t>
  </si>
  <si>
    <t>CITAS AGENDADAS</t>
  </si>
  <si>
    <t>PERSONAS ATENDIDAS</t>
  </si>
  <si>
    <t>ASUNTOS DEL INTERIOR</t>
  </si>
  <si>
    <t xml:space="preserve">ACUERDOS </t>
  </si>
  <si>
    <t>TRANSPARENCIA</t>
  </si>
  <si>
    <t>SOLICITUDES DE INFORMACION ATENDIDAS</t>
  </si>
  <si>
    <t>CAPACITACIONES TRANSPARENCIA</t>
  </si>
  <si>
    <t>COMUNICACIÓN SOCIAL</t>
  </si>
  <si>
    <t>NOTAS (COBERTURA DE EVENTOS)</t>
  </si>
  <si>
    <t>DISEÑOS</t>
  </si>
  <si>
    <t>PUBLICACIONES</t>
  </si>
  <si>
    <t>GESTION DE PROYECTOS</t>
  </si>
  <si>
    <t>PROGRAMAS IMPLEMENTADOS</t>
  </si>
  <si>
    <t>PERSONAS BENEFICIADAS</t>
  </si>
  <si>
    <t>SINDICATURA</t>
  </si>
  <si>
    <t>PREVENCION SOCIAL</t>
  </si>
  <si>
    <t>DIRECCION JURIDICA</t>
  </si>
  <si>
    <t>NUMERO DE JUICIOS ATENDIDOS</t>
  </si>
  <si>
    <t>SUB DIRECCION JURIDICA</t>
  </si>
  <si>
    <t>NUMERO DE ASESORIAS JURIDICAS</t>
  </si>
  <si>
    <t>PERSONAS BENEFICIADAS SIPPINA</t>
  </si>
  <si>
    <t>JUZGADOS MUNICIPALES</t>
  </si>
  <si>
    <t>AUTOS PUESTOS A DISPOCISION</t>
  </si>
  <si>
    <t>MOTOS PUESTAS A DISPOSICION</t>
  </si>
  <si>
    <t>PERSONAS DETENIDAS POR FALTAS ADMINISTRATIVAS</t>
  </si>
  <si>
    <t>SECRETARIA GENERAL</t>
  </si>
  <si>
    <t>SESIONES DE AYUNTAMIENTO</t>
  </si>
  <si>
    <t>CONSTANCIAS</t>
  </si>
  <si>
    <t>TRAMITES DE CARTILLA</t>
  </si>
  <si>
    <t>CEMENTERIOS</t>
  </si>
  <si>
    <t>TITULOS DE CONCESION</t>
  </si>
  <si>
    <t>EXHUMACIONES</t>
  </si>
  <si>
    <t>CAMBIOS DE PROPIETARIO</t>
  </si>
  <si>
    <t>MANTENIMIENTO DE FOSA</t>
  </si>
  <si>
    <t>TRAMITE DE REGULARIZACION</t>
  </si>
  <si>
    <t>REGISTRO CIVIL</t>
  </si>
  <si>
    <t>NACIMIENTOS</t>
  </si>
  <si>
    <t>DEFUNCIONES</t>
  </si>
  <si>
    <t>DIVORCIOS</t>
  </si>
  <si>
    <t>MATRIMONIO</t>
  </si>
  <si>
    <t>ACLARACIONES</t>
  </si>
  <si>
    <t>EXPEDICION DE ACTAS</t>
  </si>
  <si>
    <t>GABINETE</t>
  </si>
  <si>
    <t>JEFATURA DE MOVILIDAD Y TRANSPORTE</t>
  </si>
  <si>
    <t>M2 DE SEÑALAMIENTOS HORIZONTALES</t>
  </si>
  <si>
    <t>NUMERO DE SEÑALAMIENTOS VERTICALES</t>
  </si>
  <si>
    <t>DICTAMINACION DE TOPES</t>
  </si>
  <si>
    <t>DICTAMINACION DE ESPACIOS EXCLUSIVOS</t>
  </si>
  <si>
    <t>PROYECTOS DE INTERVENCION</t>
  </si>
  <si>
    <t>ENLACE METROPOLITANO</t>
  </si>
  <si>
    <t>SESIONES DE MESAS METROPOLITANAS</t>
  </si>
  <si>
    <t>SEGUIMIENTO DE ACUERDOS METROPOLITANOS</t>
  </si>
  <si>
    <t>SESIONES DE GRUPOS DE TRABAJO</t>
  </si>
  <si>
    <t>GESTION DE CALIDAD</t>
  </si>
  <si>
    <t>DISEÑO DE HERRAMIENTAS</t>
  </si>
  <si>
    <t xml:space="preserve">ACTUALIZACION DE HERRAMIENTAS </t>
  </si>
  <si>
    <t>SEGUIMIENTO DE ACUERDOS</t>
  </si>
  <si>
    <t>ACTUALIZACION DE INSTRUMENTOS PLANEACION</t>
  </si>
  <si>
    <t>INCLUSION SOCIAL</t>
  </si>
  <si>
    <t>ACTUALIZACION DE INSTRUMENTOS SIG</t>
  </si>
  <si>
    <t>SEGUIMIENTO DE REPORTES ACCESIBILIDAD UNIVERSAL</t>
  </si>
  <si>
    <t>TESORERIA</t>
  </si>
  <si>
    <t>CATASTRO</t>
  </si>
  <si>
    <t>CERTIFICACIONES</t>
  </si>
  <si>
    <t>COPIAS</t>
  </si>
  <si>
    <t>VALUACION Y CARTOGRAFIA</t>
  </si>
  <si>
    <t>TRAMITES Y REGISTRO</t>
  </si>
  <si>
    <t>CONTABILIDAD</t>
  </si>
  <si>
    <t>ENTREGA DE CUENTAS PUBLICAS</t>
  </si>
  <si>
    <t>ATENCION A AUDITORIAS ESTATALES</t>
  </si>
  <si>
    <t>ATENCION A AUDITORIAS INTERNAS</t>
  </si>
  <si>
    <t>AVANCE PRESUPUESTAL</t>
  </si>
  <si>
    <t>AVANCE RECAUDATORIO</t>
  </si>
  <si>
    <t>ATENCION A AUDITORIAS FEDERALES</t>
  </si>
  <si>
    <t>APREMIOS Y COBRANZA</t>
  </si>
  <si>
    <t>NOTIFICACIONES AGUA</t>
  </si>
  <si>
    <t>NOTIFICACIONES PREDIAL</t>
  </si>
  <si>
    <t>DETECCION TOMAS CLANDESTINAS</t>
  </si>
  <si>
    <t>INVITACIONES DE PAGO</t>
  </si>
  <si>
    <t>INFRAESTRUCTURA TECNOLOGIAS INFORMACION</t>
  </si>
  <si>
    <t>SOPORTES TECNICOS</t>
  </si>
  <si>
    <t>PADRON Y LICENCIAS</t>
  </si>
  <si>
    <t>LICENCIAS NUEVAS</t>
  </si>
  <si>
    <t>REFRENDOS</t>
  </si>
  <si>
    <t>CAMBIOS DE DOMICILIO</t>
  </si>
  <si>
    <t>LICENCIAS NUEVAS GIRO RESTRINGIDO</t>
  </si>
  <si>
    <t>REFRENDOS GIRO RESTRINGIDO</t>
  </si>
  <si>
    <t>CAMBIOS DE PROPIETARIO GIRO RESTRINGIDO</t>
  </si>
  <si>
    <t>NUMERO TOTAL DE COMERCIO AMBULANTE</t>
  </si>
  <si>
    <t>ASIGANCION DE ESPACIOS COMERCIO INFORMAL</t>
  </si>
  <si>
    <t>CAMBIOS DE DOMICILIO GIRO RESTRINGIDO</t>
  </si>
  <si>
    <t>ORGANO INTERNO DE CONTROL</t>
  </si>
  <si>
    <t>AUDITORIA A OBRA PUBLICA</t>
  </si>
  <si>
    <t>AUDITORIA INICIADA</t>
  </si>
  <si>
    <t>AUDITORIA EN PROCESO:</t>
  </si>
  <si>
    <t>ACTA CIRCUNSTANCIADA VERIFICADIÓN  FÍSICA</t>
  </si>
  <si>
    <t>MEMORIA FOTOGRAFICAS</t>
  </si>
  <si>
    <t>CÉDULAS DE VERIIFCACIÓN</t>
  </si>
  <si>
    <t>DOCUMENTOS EVALUADOS</t>
  </si>
  <si>
    <t>OBSERVACIONES DE RESULTADOS DE DESEMPEÑO</t>
  </si>
  <si>
    <t>AUDITORIA FINALIZADA</t>
  </si>
  <si>
    <t>AUDITORIA FINANCIERA</t>
  </si>
  <si>
    <t xml:space="preserve">AUDITORÍA A DELEGACIONES (FLUJO DE EFECTIVO EN CAJAS CHICAS Y RECEPCIÓN DE PAGOS) </t>
  </si>
  <si>
    <t xml:space="preserve">AUDITORÍA DE RECURSOS FEDERALES Y ESTATALES (PROGRAMAS DESTINADOS AL FORTALECIMIENTO MUNICIPAL)  </t>
  </si>
  <si>
    <t>AUDITORÍA DE PROCEDIMIENTOS (REGISTRO CIVIL, LICENCIAS, MULTAS, Y RECARGOS)</t>
  </si>
  <si>
    <t>AUDITORÍA DE CAJAS EN TESORERÍA (EMISIÓN DE COMPROBANTES, REGLAMENTACIÓN, Y RESGUARDO DE INFORMACIÓN)</t>
  </si>
  <si>
    <t>AUDITORÍA DEL PATRIMONIO MUNICIPAL (BIENES MUEBLES E INMUEBLES)</t>
  </si>
  <si>
    <t>RESPONSABILIDADES SIDECLARA</t>
  </si>
  <si>
    <t>DECLARACIÓN PATRIMONIAL, INTERÉS Y FÍSCAL INICIALES</t>
  </si>
  <si>
    <t>DECLARACIONES PATRIMONIALES DE CONCLUSIÓN</t>
  </si>
  <si>
    <t>PROCEDIMIENTOS ADMINISTRATIVOS INICIADOS</t>
  </si>
  <si>
    <t>PROCEDIMIENTOS ADMINISTRATIVOS EN PROCESO</t>
  </si>
  <si>
    <t>PROCEDIMIENTOS ADMINISTRATIVOS TERMINADOS</t>
  </si>
  <si>
    <t xml:space="preserve">ADMINISTRACION E INNOVACION </t>
  </si>
  <si>
    <t>PROVEEDURIA</t>
  </si>
  <si>
    <t>PROCESOS DE LICITACION</t>
  </si>
  <si>
    <t>ADJUDICACIONES DIRECTAS</t>
  </si>
  <si>
    <t>REQUISICIONES SURTIDAS</t>
  </si>
  <si>
    <t>VALES DE ALMACEN SURTIDOS</t>
  </si>
  <si>
    <t>PATRIMONIO</t>
  </si>
  <si>
    <t>AUTOMOVILES</t>
  </si>
  <si>
    <t>CAMIONETAS PICK UP</t>
  </si>
  <si>
    <t>MOTOCICLETAS</t>
  </si>
  <si>
    <t>CAMIONETAS DE CARGA LIVIANA</t>
  </si>
  <si>
    <t>CAMIONES DE CARGA</t>
  </si>
  <si>
    <t>CAMIONES DE PASAJEROS</t>
  </si>
  <si>
    <t>MAQUINARIA PESADA</t>
  </si>
  <si>
    <t>DESINCORPORACIÓN DE VEHÍCULOS DEL PARQUE VEHICULAR</t>
  </si>
  <si>
    <t>RESGUARDOS DE VEHICULOS</t>
  </si>
  <si>
    <t>REFRENDOS ANUALES</t>
  </si>
  <si>
    <t>CONTROL Y PAGO DE INFRACCIONES</t>
  </si>
  <si>
    <t>POLIZAS DE SEGURO</t>
  </si>
  <si>
    <t>INVENTARIO DE BIENES MUEBLES</t>
  </si>
  <si>
    <t>DESINCORPORACIÓN DE BIENES MUEBLES</t>
  </si>
  <si>
    <t>INVENTARIO DE BIENES INMUEBLES</t>
  </si>
  <si>
    <t>DESINCORPORACIÓN DE BIENES  INMUEBLES</t>
  </si>
  <si>
    <t xml:space="preserve">TELEFONOS MOVILES </t>
  </si>
  <si>
    <t>VERIFICACION VEHICULAR</t>
  </si>
  <si>
    <t>RADIOS DE COMUNICACIÓN</t>
  </si>
  <si>
    <t>RECURSOS HUMANOS</t>
  </si>
  <si>
    <t>TOTAL DE PLANTILLA DE PERSONAL</t>
  </si>
  <si>
    <t>HOMBRES</t>
  </si>
  <si>
    <t>MUJERES</t>
  </si>
  <si>
    <t>ALTAS DE PERSONAL</t>
  </si>
  <si>
    <t>BAJAS DE PERSONAL</t>
  </si>
  <si>
    <t>AUSENTISMO (PERSONAS)</t>
  </si>
  <si>
    <t>JUBILADOS</t>
  </si>
  <si>
    <t>PENSIONADOS</t>
  </si>
  <si>
    <t>CONTROL DE ABASTO DE COMBUSTIBLE</t>
  </si>
  <si>
    <t>TOTAL DE VEHICULOS QUE CARGARON COMBUSTIBLE</t>
  </si>
  <si>
    <t>VEHICULOS OFICIALES A GASOLINA</t>
  </si>
  <si>
    <t>NÚMERO DE VECES QUE CARGARON COMBUSTIBLE</t>
  </si>
  <si>
    <t>TOTAL DE LITROS DE GASOLINA DESPACHADA</t>
  </si>
  <si>
    <t>MOTOCICLETAS OFICIALES</t>
  </si>
  <si>
    <t>VEHICULOS PARTICULARES</t>
  </si>
  <si>
    <t>MOTOCICLETAS PARTICULARES</t>
  </si>
  <si>
    <t>TOTAL  DE  NOTAS PARA FACTURAR</t>
  </si>
  <si>
    <t>MONTO MENSUAL A PAGAR (EN PESOS)</t>
  </si>
  <si>
    <t>VEHICULOS OFICIALES A DIESEL</t>
  </si>
  <si>
    <t>TOTAL DE LITROS DE DIESEL DESPACHADO</t>
  </si>
  <si>
    <t>VEHICULOS DE SEGURIDAD PUBLICA</t>
  </si>
  <si>
    <t>MOTOCICLETAS DE SEGURIDAD PUBLICA</t>
  </si>
  <si>
    <t>SERVICIOS MEDICOS MUNICIPALES</t>
  </si>
  <si>
    <t>CONSULTAS MÉDICAS DOMICILIARIAS</t>
  </si>
  <si>
    <t>TOTAL DE TRASLADOS</t>
  </si>
  <si>
    <t>CAMPAÑAS DE PREVENCIÓN EN SALUD PÚBLICA</t>
  </si>
  <si>
    <t>CAMPAÑAS DE VACUNACIÓN</t>
  </si>
  <si>
    <t>PERSONAS VACUNADAS</t>
  </si>
  <si>
    <t>ATENCIONES DE LABORATORIO DE ANÁLISIS CLÍNICOS</t>
  </si>
  <si>
    <t>APOYO DE AMBULANCIA EN EVENTOS PUBLICOS</t>
  </si>
  <si>
    <t>NÚMERO DE EVALUACIONES</t>
  </si>
  <si>
    <t>TOTAL DE EXÁMENES MÉDICOS</t>
  </si>
  <si>
    <t>CONSULTAS PSICOLÓGICAS</t>
  </si>
  <si>
    <t>DERIVACIÓN DE CASOS (SEGUNDO NIVEL PSIQUIATRÍA,HCG, ISSSTE, SSJ, CISAME, ETC.))</t>
  </si>
  <si>
    <t>CONSULTAS NUTRICIONALES</t>
  </si>
  <si>
    <t>CONSULTAS DENTALES A PERSONAL DEL AYUNTAMIENTO</t>
  </si>
  <si>
    <t>CONSULTAS DENTALES A POBLACION ABIERTA</t>
  </si>
  <si>
    <t>CONSULTAS MEDICAS A PERSONAL DEL AYUNTAMIENTO</t>
  </si>
  <si>
    <t>CONSULTAS MEDICAS A POBLACION EN GENERAL</t>
  </si>
  <si>
    <t>INCAPACIDADES OTORGADAS A SERVIDORES PUBLICOS</t>
  </si>
  <si>
    <t>DIAS DE INCAPACIDAD OTORGADOS</t>
  </si>
  <si>
    <t>RECETAS EXPEDIDAS A PERSONAL DEL AYUNTAMIENTO</t>
  </si>
  <si>
    <t>RECETAS EXPEDIDAS A POBLACION EN GENERAL</t>
  </si>
  <si>
    <t>EMERGENCIAS ATENDIDAS EN LA UNIDAD MEDICA</t>
  </si>
  <si>
    <t>EMERGENCIAS ATENDIDAS EN VIA PUBLICA</t>
  </si>
  <si>
    <t>CERTIFICADOS MEDICOS EXPEDIDOS A PERSONAL DEL AYUNTAMIENTO</t>
  </si>
  <si>
    <t>CERTIFICADOS MEDICOS EXPEDIDOS A POBLACION EN GENERAL</t>
  </si>
  <si>
    <t xml:space="preserve">PLÁTICAS DE NUTRICIÓN, MEDICINA DENTAL Y ENFERMERÍA </t>
  </si>
  <si>
    <t>NÚMERO DE ASISTENTES</t>
  </si>
  <si>
    <t>VISITAS A CENTRO DE TRABAJO</t>
  </si>
  <si>
    <t>TOTAL DE ATENCIONES EN EMERGENCIAS</t>
  </si>
  <si>
    <t>HOSPITALIZACIONES</t>
  </si>
  <si>
    <t>CURACIONES</t>
  </si>
  <si>
    <t>SUTURAS</t>
  </si>
  <si>
    <t>ATENCIÓN DE LESIONES</t>
  </si>
  <si>
    <t>RETIRO DE PUNTOS DE SUTURA</t>
  </si>
  <si>
    <t>APLICACIÓN DE MEDICAMENTOS</t>
  </si>
  <si>
    <t>APLICACIÓN DE VENDAJE</t>
  </si>
  <si>
    <t>APLICACIÓN DE YESO</t>
  </si>
  <si>
    <t>TERAPIA DE REHIDRATACIÓN</t>
  </si>
  <si>
    <t>ATENCIONES POR INHALOTERAPIA</t>
  </si>
  <si>
    <t>DESARROLLO ECONOMICO</t>
  </si>
  <si>
    <t xml:space="preserve">EVENTOS QUE PROMUEVAN EL DESARROLLO ECONOMICO O RURAL DEL MUNICIPIO </t>
  </si>
  <si>
    <t>ASISTENTES TOTALES AL EVENTO</t>
  </si>
  <si>
    <t xml:space="preserve">EMPRESAS BENEFICIADAS CON LOS EVENTOS </t>
  </si>
  <si>
    <t>CAPACITACIONES / TALLERES DE DESARROLLO ECONOMICO</t>
  </si>
  <si>
    <t>ASISTENTES TOTALES A LAS CAPACITACIONES</t>
  </si>
  <si>
    <t>PROYECTOS PARA PROMOVER EL DESARROLLO ECONOMICO</t>
  </si>
  <si>
    <t>SERVICIOS Y/O PROCEDIMIENTOS</t>
  </si>
  <si>
    <t xml:space="preserve">REUNIONES CON EMPRENDEDORES Y/O EMPRESARIOS PARA PROMOVER LA ECONOMIA   </t>
  </si>
  <si>
    <t>DESARROLLO RURAL</t>
  </si>
  <si>
    <t>ATENCION A PRODUCTORES</t>
  </si>
  <si>
    <t>PROYECTOS ESTRATEGICOS PARA EL CAMPO</t>
  </si>
  <si>
    <t>REUNIONES FEDERALES APLICADO EN EL DESARROLLO DEL CAMPO</t>
  </si>
  <si>
    <t>REUNIONES ESTATALES APLICADO EN EL DESARROLLO DEL CAMPO</t>
  </si>
  <si>
    <t>REUNIONES MUNICIPALES APLICADOS AL DESARROLLO RURAL</t>
  </si>
  <si>
    <t xml:space="preserve">PRODUCTORES DEL CAMPO ATENDIDOS </t>
  </si>
  <si>
    <t>ASESORIAS IMPARTIDAS EN TEMAS RELACIONADOS AL CAMPO</t>
  </si>
  <si>
    <t>CONSTRUCCION DE LA COMUNIDAD</t>
  </si>
  <si>
    <t>PARTICIPACION CIUDADANA</t>
  </si>
  <si>
    <t>COMITES VECINALES INSTALADOS</t>
  </si>
  <si>
    <t>COMITES DE OBRA INSTALADOS</t>
  </si>
  <si>
    <t>CULTURA</t>
  </si>
  <si>
    <t xml:space="preserve">EVENTOS REALIZADOS </t>
  </si>
  <si>
    <t>SESIONES DE TALLERES CULTURALES</t>
  </si>
  <si>
    <t>DEPORTES</t>
  </si>
  <si>
    <t>Clases Escuela de Fútbol</t>
  </si>
  <si>
    <t>Clases Escuela de Básquetbol</t>
  </si>
  <si>
    <t>Clases Escuelas de Voleibol</t>
  </si>
  <si>
    <t>Clases Escuela de Box</t>
  </si>
  <si>
    <t>Clases Escuela de Natación</t>
  </si>
  <si>
    <t>Clases Gimnasio Municipal</t>
  </si>
  <si>
    <t>EVENTOS REALIZADOS</t>
  </si>
  <si>
    <t>TOTAL DE PERSONAS BENEFICIADAS</t>
  </si>
  <si>
    <t>TURISMO</t>
  </si>
  <si>
    <t>EDUCACION</t>
  </si>
  <si>
    <t>ESCUELAS BENEFICIADAS</t>
  </si>
  <si>
    <t>IGUALDAD SUSTANTIVA</t>
  </si>
  <si>
    <t>PROGRAMAS SOCIALES</t>
  </si>
  <si>
    <t>JUVENTUDES</t>
  </si>
  <si>
    <t>MURALISMO</t>
  </si>
  <si>
    <t>M2 REALIZADOS</t>
  </si>
  <si>
    <t>MURALES TERMINADOS</t>
  </si>
  <si>
    <t>ADMINISTRACION CDC BELLAVISTA</t>
  </si>
  <si>
    <t>TALLERES REALIZADOS</t>
  </si>
  <si>
    <t>ADMINISTRACION CDC LA CEJA</t>
  </si>
  <si>
    <t>SERVICIOS GENERALES</t>
  </si>
  <si>
    <t>AGUA POTABLE</t>
  </si>
  <si>
    <t>MANTENIMIENTO A INFRAESTRUCTURA DE AGUA POTABLE</t>
  </si>
  <si>
    <t>REPORTES FUGAS DE AGUA</t>
  </si>
  <si>
    <t>RECONEXIONES TOMAS DE AGUA</t>
  </si>
  <si>
    <t>SOPLETEAR TOMAS</t>
  </si>
  <si>
    <t>SUSPENSIÓN DE TOMAS</t>
  </si>
  <si>
    <t>REPARACIÓN O DESASOLVE</t>
  </si>
  <si>
    <t>CAMBIOS DE NOMBRE DE TOMAS DE AGUA POTABLE</t>
  </si>
  <si>
    <t>NUEVAS TOMAS DE AGUA POTABLE(ZONA URBANA)</t>
  </si>
  <si>
    <t>CAPTURA DE LECTURAS DE AGUA POTABLE</t>
  </si>
  <si>
    <t>SOLICITUDES DE PIPAS</t>
  </si>
  <si>
    <t>PIPAS ENTREGADAS</t>
  </si>
  <si>
    <t>CERTIFICADOS DE NO ADEUDO</t>
  </si>
  <si>
    <t>SOLICITUDES DE VERIFICACIÓN DOMICILIARIA (EFICIENCIA DEL SERVICIO)</t>
  </si>
  <si>
    <t>INEXISTENCIAS DE TOMAS</t>
  </si>
  <si>
    <t>VERIFICACIÓN DE DRENAJE EN FRACCIONAMIENTOS NUEVOS</t>
  </si>
  <si>
    <t>HABILITACIÓN DE REDES NUEVAS DE AGUA POTABLE</t>
  </si>
  <si>
    <t>INSTALACIÓN Y REHABILITACIÓN DE SANITARIOS</t>
  </si>
  <si>
    <t xml:space="preserve"> MANTENIMIENTO A BOMBAS DE AGUA</t>
  </si>
  <si>
    <t>REPARACION DE FUGAS DE DRENAJE</t>
  </si>
  <si>
    <t>LITROS EXTRAIDOS</t>
  </si>
  <si>
    <t>LITROS DE HIPOCLORITO DE SODIO EN POZOS</t>
  </si>
  <si>
    <t xml:space="preserve"> MANTENIMIENTO A PLANTAS TRATADORAS</t>
  </si>
  <si>
    <t>ACTIVIDADES EXTRAS (APOYO A EVENTOS, MANTENIMIENTO HÍDRICO DE EDIFICIOS PÚBLICOS)</t>
  </si>
  <si>
    <t>ANALISIS FISICOQUÍMICOS</t>
  </si>
  <si>
    <t>PARQUES Y JARDINES</t>
  </si>
  <si>
    <t>PODAS EN ESPACIOS PUBLICOS MUNICIPALES</t>
  </si>
  <si>
    <t>PODAS EN CARRETERAS Y CAMINOS</t>
  </si>
  <si>
    <t>PODAS EN CAMELLONES Y BANQUETAS DE CALLES</t>
  </si>
  <si>
    <t>PODAS EN UNIDADES DEPORTIVAS Y CAMPOS DE FÚTBOL</t>
  </si>
  <si>
    <t>PODAS DE ÁRBOLES</t>
  </si>
  <si>
    <t>PODAS EN ESCUELAS</t>
  </si>
  <si>
    <t>RASTRO</t>
  </si>
  <si>
    <t xml:space="preserve">SACRIFICIO DE RESES </t>
  </si>
  <si>
    <t>SACRIFICIOS DE CERDOS</t>
  </si>
  <si>
    <t>TOTAL DE ANIMALES RESGUARDADOS</t>
  </si>
  <si>
    <t>DECOMISOS (KG)</t>
  </si>
  <si>
    <t>TOTAL DE ANIMALES DECOMISADOS</t>
  </si>
  <si>
    <t>NÚMERO DE REPORTES ATENDIDOS</t>
  </si>
  <si>
    <t>NÚMERO DE INSPECCIONES</t>
  </si>
  <si>
    <t>OBRADORES</t>
  </si>
  <si>
    <t xml:space="preserve">POLLERIAS </t>
  </si>
  <si>
    <t>CARNICERIAS</t>
  </si>
  <si>
    <t>TOTAL DE KG DECOMISADOS</t>
  </si>
  <si>
    <t>ALUMBRADO PUBLICO</t>
  </si>
  <si>
    <t>MANTENIMIENTO DE LUMINARIAS DELEGACIONES Y COMUNIDADES</t>
  </si>
  <si>
    <t>MANTENIMIENTO DE LUMINARIAS EN CABECERA MUNICIPAL</t>
  </si>
  <si>
    <t>INSTALACIÓN DE LÁMPARAS NUEVAS DELEGACIONES Y COMUNIDADES</t>
  </si>
  <si>
    <t>INSTALACIÓN DE LÁMPARAS NUEVAS CABECERA MUNICIPAL</t>
  </si>
  <si>
    <t xml:space="preserve">NÚMERO DE SOLICITUDES PARA LÁMPARAS NUEVAS </t>
  </si>
  <si>
    <t>censo actual de LUMINARIAS</t>
  </si>
  <si>
    <t>ACTIVIDADES EXTRAS (MANTENIMIENTO ELÉCTRICO DE EDIFICIOS PÚBLICOS, APOYO A EVENTOS)</t>
  </si>
  <si>
    <t>PADRON DE LUMINARIA NO FUNCIONAL(REPORTE CIUDADANO)</t>
  </si>
  <si>
    <t>ASEO PUBLICO</t>
  </si>
  <si>
    <t>VIGILANCIA EN VERTEDERO MUNICIPAL (TONELADAS VERTIDAS POR MES)</t>
  </si>
  <si>
    <t>NÚMERO DE CALLES ASEADAS</t>
  </si>
  <si>
    <t>TONELADAS RECOLECTADAS</t>
  </si>
  <si>
    <t>TALLER MECANICO</t>
  </si>
  <si>
    <t>REPARACIÓN DE SUSPENSIONES</t>
  </si>
  <si>
    <t>REPARACIONES VARIAS</t>
  </si>
  <si>
    <t>REVISIÓN DE NIVELES (DIARIO)</t>
  </si>
  <si>
    <t>REPARACIONES ELÉCTRICAS</t>
  </si>
  <si>
    <t xml:space="preserve"> REPARACION DE VEHICULOS EN TALLER MUNICIPAL</t>
  </si>
  <si>
    <t xml:space="preserve">CANALIZACIÓN A TALLERES EXTERNOS (SUBROGADOS) </t>
  </si>
  <si>
    <t>AFINACIONES</t>
  </si>
  <si>
    <t xml:space="preserve">CAMBIO DE TAMBORES </t>
  </si>
  <si>
    <t>CAMBIO DE BALATAS</t>
  </si>
  <si>
    <t>REPARACIÓN DE EQUIPOS DE JARDINERÍA (DESBROZADORAS, MOTOBOMBAS, MOTOSIERRAS, ETC.)</t>
  </si>
  <si>
    <t>RECARGAS DE ACEITE</t>
  </si>
  <si>
    <t>MANTENIMIENTO GENERAL</t>
  </si>
  <si>
    <t>INSTALACIÓN DE TABLAROCA M2</t>
  </si>
  <si>
    <t>CALLES  BACHEADAS (NO. BACHES)</t>
  </si>
  <si>
    <t>CARRETERAS BACHEADAS (NO. BACHES)</t>
  </si>
  <si>
    <t>NÚMERO DE ASFALTO APLICADO (TONELADAS)</t>
  </si>
  <si>
    <t>INSTALACIÓN DE POSTES PARA LÁMPARAS</t>
  </si>
  <si>
    <t>FUMIGACION EN CALLES</t>
  </si>
  <si>
    <t xml:space="preserve"> FUMIGACION EN EDIFICIOS Y PLAZAS PÚBLICOS</t>
  </si>
  <si>
    <t>IMPERMEABILIZACIONES EN EDIFICIOS PÚBLICOS</t>
  </si>
  <si>
    <t>IMPERMEABILIZACIONES EN ESCUELAS</t>
  </si>
  <si>
    <t>ACCIONES DE INTERVENCION CON PINTUR A UNIDADES DEPORTIVAS</t>
  </si>
  <si>
    <t>ACCIONES DE INTERVENCION CON PINTURA A OFICINAS Y FACHADAS DE EDIFICIOS PÚBLICOS</t>
  </si>
  <si>
    <t>ACCIONES DE INTERVENCION CON PINTURA PLAZAS PÚBLICAS</t>
  </si>
  <si>
    <t>ACCIONES DE INTERVENCION CON PINTURA A  PARQUES</t>
  </si>
  <si>
    <t>ACCIONES DE INTERVENCION CON PINTUR A A ESCUELAS</t>
  </si>
  <si>
    <t>PINTURA (M2) APLICADA</t>
  </si>
  <si>
    <t>ACCIONES DE MANTENIMIENTO A UNIDADES DEPORTIVAS Y CAMPOS DE FÚTBOL EN LA CABECERA MUNICIPAL</t>
  </si>
  <si>
    <t>ACCIONES DE MANTENIMIENTO A PLAZAS PÚBLICAS</t>
  </si>
  <si>
    <t>ACCIONES DE MANTENIMIENTO A EDIFICIOS PÚBLICOS</t>
  </si>
  <si>
    <t>CONTROL ANIMAL</t>
  </si>
  <si>
    <t>SACRIFICIO HUMANITARIO DE PERROS Y GATOS</t>
  </si>
  <si>
    <t>ANIMALES EN RESGUARDO EN UNIDAD DE CONTROL CANINO</t>
  </si>
  <si>
    <t>CAMPAÑAS PARA MASCOTAS REALIZADAS (VACUNACION, ESTERILIZACION ETC).</t>
  </si>
  <si>
    <t>ANIMALES ATENDIDOS EN CAMPAÑAS DE ESTERILIZACION</t>
  </si>
  <si>
    <t>ANIMALES VIVOS RECOGIDOS EN VIA PUBLICA</t>
  </si>
  <si>
    <t>COMISARIA DE SEGURIDAD</t>
  </si>
  <si>
    <t>POLICIA</t>
  </si>
  <si>
    <t xml:space="preserve"> SANCIONES  A LAS PERSONAS EN ESTADO DE EBRIEDAD O BAJO EL INFLUJO DE ALGUN ESTUPEFACIENTE.</t>
  </si>
  <si>
    <t>SANCIONES POR CONSUMIR BEBIDAS ALCOHÓLICAS EN LUGARES PUBLICOS</t>
  </si>
  <si>
    <t>SANCIONES POR CONSUMIR SUSTANCIAS QUE PROVOQUEN DEPENDENCIA EN LUGARES PÚBLICOS</t>
  </si>
  <si>
    <t>SANCIONES POR CONDUCIR VEHICULOS EN ESTADO DE EBRIEDAD O BAJO EL INFLUJO DE SUSTANCIAS QUE PROVOQUEN DEPENDENCIA</t>
  </si>
  <si>
    <t>OTRAS INFRACCIONES RELACIONADAS AL CONSUMO    Y/O SUMINISTRO DE SUSTANCIAS QUE ALTERAN LA SALUD Y ESTADO FÍSICO</t>
  </si>
  <si>
    <t>SANCIONES POR CAUSAR AFECTACIÓN A BIENES DE PROPIEDAD PARTICULAR</t>
  </si>
  <si>
    <t>SANCIONES POR PROVOCAR DAÑO A BIENES DE PROPIEDAD MUNICIPAL O DELEGACIONAL</t>
  </si>
  <si>
    <t>SANCIONES POR OTRAS INFRACCIONES RELACIONADAS CON EL DAÑO A LAS COSAS (EN CONTRA DE LA PROPIEDAD PRIVADA O DE DOMINIO PÚBLICO).</t>
  </si>
  <si>
    <t>SANCIONES POR AGREDIR FISICA O VERBALMENTE A LOS ELEMENTOS OPERATIVOS</t>
  </si>
  <si>
    <t>SANCIONES RELACIONADAS A OTRAS INFRACCIONES RELACIONADAS AL CONSUMO    Y/O SUMINISTRO DE SUSTANCIAS QUE ALTERAN LA SALUD Y ESTADO FÍSICO</t>
  </si>
  <si>
    <t>SANCIONES REALIZADAS A  NECESIDADES FISIOLÓGICAS</t>
  </si>
  <si>
    <t>SANCIONES RELACIONADAS A LA CONTAMINACIÓN AUDITIVA</t>
  </si>
  <si>
    <t>OTRAS INFRACCIONES RELACIONADAS AL DESORDEN EN LA CONVIVENCIA SOCIAL</t>
  </si>
  <si>
    <t>SANCIONES POR ALTERAR EL ORDEN PUBLICO</t>
  </si>
  <si>
    <t>POSESIÓN SIMPLE</t>
  </si>
  <si>
    <t>POSESIÓN CON FINES DE COMERCIO O SUMINISTRO</t>
  </si>
  <si>
    <t>OTROS DELITOS CONTRA LA SALUD RELACIONADOS CON NARCOMENUDEO EN SU MODALIDAD DE NARCOMENUDEO</t>
  </si>
  <si>
    <t>DELITOS DEL FUERO COMÚN</t>
  </si>
  <si>
    <t>HOMICIDIO</t>
  </si>
  <si>
    <t>SUICIDIO</t>
  </si>
  <si>
    <t>OTROS DELITOS RELACIONADOS CON LA VIDA Y LA INTEGRIDAD FISICA CORPORAL</t>
  </si>
  <si>
    <t>DESAPARICIÓN FORZADA</t>
  </si>
  <si>
    <t>PRIVACIÓN DE LA LIBERTAD</t>
  </si>
  <si>
    <t>OTROS DELITOS RELACIONADOS CON LA LIBERTAD PERSONAL</t>
  </si>
  <si>
    <t>ABUSO SEXUAL</t>
  </si>
  <si>
    <t>VIOLACIÓN</t>
  </si>
  <si>
    <t>OTROS DELITOS QUE ATENTEN CONTRA LA LIBERTAD Y SEGURIDAD SEXUAL</t>
  </si>
  <si>
    <t>ROBO SIMPLE</t>
  </si>
  <si>
    <t>ROBO A CASA HABITACIÓN</t>
  </si>
  <si>
    <t>ROBO A MOTOCICLETA</t>
  </si>
  <si>
    <t>ROBO A VEHICULOS</t>
  </si>
  <si>
    <t>OTROS ROBOS</t>
  </si>
  <si>
    <t>REPORTES VIOLENCIA INTRAFAMILIAR</t>
  </si>
  <si>
    <t>OTROS DELITOS CONTRA LA FAMILIA</t>
  </si>
  <si>
    <t>POLICIA VIAL</t>
  </si>
  <si>
    <t>SANCIONES A MOTOCICLETAS</t>
  </si>
  <si>
    <t>SANCIONES A AUTOMÓVILES</t>
  </si>
  <si>
    <t xml:space="preserve">SANCIONES A VEHÍCULOS DE CARGA PESADA </t>
  </si>
  <si>
    <t>SANCIONES AL TRANSPORTE PUBLICO</t>
  </si>
  <si>
    <t>GESTION INTEGRAL DE LA CIUDAD</t>
  </si>
  <si>
    <t>MODULO DE MAQUINARIA</t>
  </si>
  <si>
    <t>HORAS DE SERVICIO PRESTADAS</t>
  </si>
  <si>
    <t>NUMERO DE ACARREOS REALIZADOS</t>
  </si>
  <si>
    <t>NUMERO DE MAQUINAS OPERATIVAS</t>
  </si>
  <si>
    <t>PROYECTOS DE OBRA PUBLICA</t>
  </si>
  <si>
    <t>OBRAS EN PROCESO</t>
  </si>
  <si>
    <t>OBRAS FINALIZADAS</t>
  </si>
  <si>
    <t>PROYECTOS ELABORADOS</t>
  </si>
  <si>
    <t>ECOLOGIA</t>
  </si>
  <si>
    <t>DICTAMENES</t>
  </si>
  <si>
    <t>ORDENES DE INSPECCION</t>
  </si>
  <si>
    <t>SANCIONES</t>
  </si>
  <si>
    <t>INSPECCIONES REALIZADAS</t>
  </si>
  <si>
    <t>ORDENAMIENTO TERRITORIAL</t>
  </si>
  <si>
    <t>DICTAMENES DE GIRO</t>
  </si>
  <si>
    <t xml:space="preserve">DICTAMENES DE EDIFICACION </t>
  </si>
  <si>
    <t>LICENCIAS DE NUMERO OFICIAL</t>
  </si>
  <si>
    <t>LICENCIA DE ALINEAMIENTO</t>
  </si>
  <si>
    <t>LICENCIA DE EDIFICACION</t>
  </si>
  <si>
    <t>LICENCIA DE URBANIZACION</t>
  </si>
  <si>
    <t>DICTAMEN BANCOS DE MATERIAL GEOLOGICO</t>
  </si>
  <si>
    <t>MOVIMIENTOS DE TIERRA</t>
  </si>
  <si>
    <t>GESTION INTEGRAL DE RIESGOS Y PROTECCION CIVIL</t>
  </si>
  <si>
    <t>PROTECCION CIVIL Y BOMBEROS</t>
  </si>
  <si>
    <t>INCENDIO POR Utilización de gas inflamable</t>
  </si>
  <si>
    <t>INCENDIO POR DESCUIDO</t>
  </si>
  <si>
    <t>Negligencia</t>
  </si>
  <si>
    <t>INCENDIO PROVOCADO</t>
  </si>
  <si>
    <t>INCENDIO INTENCIONAL</t>
  </si>
  <si>
    <t>DERRAME DE COMBUSTIBLE</t>
  </si>
  <si>
    <t>Fuga de gasolina</t>
  </si>
  <si>
    <t>Recalentamiento de materiales</t>
  </si>
  <si>
    <t>CHOQUE DE VEHICULO</t>
  </si>
  <si>
    <t>INCENCENDIO ACCIDENTAL</t>
  </si>
  <si>
    <t>EXPLOSIONES</t>
  </si>
  <si>
    <t>FUEGO DIRECTO</t>
  </si>
  <si>
    <t>QUEMA DE BASURA</t>
  </si>
  <si>
    <t>PROPAGACION</t>
  </si>
  <si>
    <t>MALA INSTALACION ELECTRICA</t>
  </si>
  <si>
    <t>FALTA DE MANTENIMIENTO</t>
  </si>
  <si>
    <t>Reignición</t>
  </si>
  <si>
    <t>Sobrecalentamiento de motor</t>
  </si>
  <si>
    <t>Falsa explosión</t>
  </si>
  <si>
    <t>Choque de vehículo</t>
  </si>
  <si>
    <t>Volcamiento vehicular</t>
  </si>
  <si>
    <t>Accidentes de tránsito</t>
  </si>
  <si>
    <t>Resto de las causas</t>
  </si>
  <si>
    <t>Otros</t>
  </si>
  <si>
    <t>Por accidentes de tránsito</t>
  </si>
  <si>
    <t>Volcadura</t>
  </si>
  <si>
    <t>Utilización de equipo de soldadura</t>
  </si>
  <si>
    <t>Utilización incorrecta de equipo de soldadura</t>
  </si>
  <si>
    <t>Forestal (no es causa, por eso se agrupa en este lugar)</t>
  </si>
  <si>
    <t xml:space="preserve">Quema de pastizales </t>
  </si>
  <si>
    <t>OCTUBRE 2025-SEPTIEMBRE 2026</t>
  </si>
  <si>
    <t>OCTUBRE 2026-SEPTIEMBRE 2027</t>
  </si>
  <si>
    <t>DEPENDENCIA</t>
  </si>
  <si>
    <t>PERIODO</t>
  </si>
  <si>
    <t>OCTUBRE 2024 - SEPTIEMBRE 2025</t>
  </si>
  <si>
    <t>OCTUBRE 2025 - SEPTIEMBRE 2026</t>
  </si>
  <si>
    <t>OCTUBRE 2026 - SEPTIEMBRE 2027</t>
  </si>
  <si>
    <t>ENERO</t>
  </si>
  <si>
    <t>CITA</t>
  </si>
  <si>
    <t>ASCENDENTE</t>
  </si>
  <si>
    <t>BITACORA DE ATENCION</t>
  </si>
  <si>
    <t>NÚM. DE PERSONAS</t>
  </si>
  <si>
    <t>NUM. PERSONAS</t>
  </si>
  <si>
    <t>NÚM. ACUERDOS</t>
  </si>
  <si>
    <t>MINUTA DE REUNION</t>
  </si>
  <si>
    <t>NÚM. DE SOLICITUDES</t>
  </si>
  <si>
    <t>PNT</t>
  </si>
  <si>
    <t>NÚM. DE CAPACITACIONES</t>
  </si>
  <si>
    <t>PROGRAMA ANUAL DE CAPACITACIONES</t>
  </si>
  <si>
    <t>NÚM. DE NOTAS PUBLICADAS</t>
  </si>
  <si>
    <t>BITACORA OPERATIVA</t>
  </si>
  <si>
    <t>NÚM. DE DISEÑOS REALIZADOS</t>
  </si>
  <si>
    <t>NÚM. DE PUBLICCIONES</t>
  </si>
  <si>
    <t>NÚM. DE PROGRAMAS IMPLEMENTADOS</t>
  </si>
  <si>
    <t>PADRON UNICO DE BENEFICIADOS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</si>
</sst>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&quot; &quot;mmmm&quot;, &quot;yyyy"/>
  </numFmts>
  <fonts count="14">
    <font>
      <sz val="12"/>
      <color theme="1"/>
      <name val="Calibri"/>
      <scheme val="minor"/>
    </font>
    <font>
      <b/>
      <sz val="18"/>
      <color theme="1"/>
      <name val="Arial"/>
      <family val="2"/>
    </font>
    <font>
      <sz val="12"/>
      <name val="Calibri"/>
      <family val="2"/>
    </font>
    <font>
      <sz val="12"/>
      <color theme="1"/>
      <name val="Arial"/>
      <family val="2"/>
    </font>
    <font>
      <sz val="12"/>
      <color theme="1"/>
      <name val="Comfortaa"/>
    </font>
    <font>
      <b/>
      <sz val="12"/>
      <color theme="1"/>
      <name val="Comfortaa"/>
    </font>
    <font>
      <b/>
      <sz val="9"/>
      <color theme="1"/>
      <name val="Comfortaa"/>
    </font>
    <font>
      <b/>
      <sz val="12"/>
      <color theme="1"/>
      <name val="Arial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sz val="11"/>
      <color theme="1"/>
      <name val="Calibri"/>
      <family val="2"/>
    </font>
    <font>
      <sz val="12"/>
      <color rgb="FF000000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7"/>
        <bgColor theme="7"/>
      </patternFill>
    </fill>
    <fill>
      <patternFill patternType="solid">
        <fgColor rgb="FFB7B7B7"/>
        <bgColor rgb="FFB7B7B7"/>
      </patternFill>
    </fill>
    <fill>
      <patternFill patternType="solid">
        <fgColor rgb="FF999999"/>
        <bgColor rgb="FF999999"/>
      </patternFill>
    </fill>
    <fill>
      <patternFill patternType="solid">
        <fgColor theme="0"/>
        <bgColor theme="0"/>
      </patternFill>
    </fill>
  </fills>
  <borders count="8">
    <border>
      <left/>
      <right/>
      <top/>
      <bottom/>
      <diagonal/>
    </border>
    <border>
      <left style="double">
        <color rgb="FF000000"/>
      </left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4" fillId="3" borderId="4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4" fontId="3" fillId="2" borderId="4" xfId="0" applyNumberFormat="1" applyFont="1" applyFill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center" wrapText="1"/>
    </xf>
    <xf numFmtId="0" fontId="7" fillId="5" borderId="4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/>
    </xf>
    <xf numFmtId="4" fontId="3" fillId="2" borderId="4" xfId="0" applyNumberFormat="1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12" fillId="0" borderId="0" xfId="0" applyFont="1"/>
    <xf numFmtId="0" fontId="3" fillId="6" borderId="4" xfId="0" applyFont="1" applyFill="1" applyBorder="1" applyAlignment="1">
      <alignment vertical="center" wrapText="1"/>
    </xf>
    <xf numFmtId="4" fontId="3" fillId="2" borderId="4" xfId="0" applyNumberFormat="1" applyFont="1" applyFill="1" applyBorder="1" applyAlignment="1">
      <alignment horizontal="center"/>
    </xf>
    <xf numFmtId="164" fontId="12" fillId="0" borderId="0" xfId="0" applyNumberFormat="1" applyFont="1" applyAlignment="1">
      <alignment horizontal="center" vertical="center" wrapText="1"/>
    </xf>
    <xf numFmtId="0" fontId="13" fillId="0" borderId="0" xfId="0" applyFont="1"/>
    <xf numFmtId="0" fontId="3" fillId="0" borderId="0" xfId="0" applyFont="1"/>
    <xf numFmtId="0" fontId="7" fillId="4" borderId="5" xfId="0" applyFont="1" applyFill="1" applyBorder="1" applyAlignment="1">
      <alignment horizontal="center" vertical="center" wrapText="1"/>
    </xf>
    <xf numFmtId="0" fontId="2" fillId="0" borderId="6" xfId="0" applyFont="1" applyBorder="1"/>
    <xf numFmtId="0" fontId="2" fillId="0" borderId="7" xfId="0" applyFont="1" applyBorder="1"/>
    <xf numFmtId="0" fontId="7" fillId="2" borderId="5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7" fillId="5" borderId="5" xfId="0" applyFont="1" applyFill="1" applyBorder="1" applyAlignment="1">
      <alignment horizontal="center" vertical="center" wrapText="1"/>
    </xf>
    <xf numFmtId="0" fontId="9" fillId="4" borderId="5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2" fillId="0" borderId="2" xfId="0" applyFont="1" applyBorder="1"/>
    <xf numFmtId="0" fontId="2" fillId="0" borderId="3" xfId="0" applyFont="1" applyBorder="1"/>
    <xf numFmtId="0" fontId="3" fillId="2" borderId="1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tx>
            <c:strRef>
              <c:f>'PRESIDENCIA 24-25'!$B$2</c:f>
              <c:strCache>
                <c:ptCount val="1"/>
                <c:pt idx="0">
                  <c:v>INDICADORES</c:v>
                </c:pt>
              </c:strCache>
            </c:strRef>
          </c:tx>
          <c:spPr>
            <a:solidFill>
              <a:srgbClr val="4472C4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24-25'!$A$3:$A$13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24-25'!$B$3:$B$13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238B-094D-9A09-A23E114D7E9A}"/>
            </c:ext>
          </c:extLst>
        </c:ser>
        <c:ser>
          <c:idx val="1"/>
          <c:order val="1"/>
          <c:tx>
            <c:strRef>
              <c:f>'PRESIDENCIA 24-25'!$H$2</c:f>
              <c:strCache>
                <c:ptCount val="1"/>
                <c:pt idx="0">
                  <c:v>OCTUBRE</c:v>
                </c:pt>
              </c:strCache>
            </c:strRef>
          </c:tx>
          <c:spPr>
            <a:solidFill>
              <a:srgbClr val="ED7D31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24-25'!$A$3:$A$13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24-25'!$H$3:$H$13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238B-094D-9A09-A23E114D7E9A}"/>
            </c:ext>
          </c:extLst>
        </c:ser>
        <c:ser>
          <c:idx val="2"/>
          <c:order val="2"/>
          <c:tx>
            <c:strRef>
              <c:f>'PRESIDENCIA 24-25'!$I$2</c:f>
              <c:strCache>
                <c:ptCount val="1"/>
                <c:pt idx="0">
                  <c:v>NOVIEMBRE</c:v>
                </c:pt>
              </c:strCache>
            </c:strRef>
          </c:tx>
          <c:spPr>
            <a:solidFill>
              <a:srgbClr val="A5A5A5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24-25'!$A$3:$A$13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24-25'!$I$3:$I$13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238B-094D-9A09-A23E114D7E9A}"/>
            </c:ext>
          </c:extLst>
        </c:ser>
        <c:ser>
          <c:idx val="3"/>
          <c:order val="3"/>
          <c:tx>
            <c:strRef>
              <c:f>'PRESIDENCIA 24-25'!$J$2</c:f>
              <c:strCache>
                <c:ptCount val="1"/>
                <c:pt idx="0">
                  <c:v>DICIEMBRE</c:v>
                </c:pt>
              </c:strCache>
            </c:strRef>
          </c:tx>
          <c:spPr>
            <a:solidFill>
              <a:srgbClr val="FFC000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24-25'!$A$3:$A$13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24-25'!$J$3:$J$13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3-238B-094D-9A09-A23E114D7E9A}"/>
            </c:ext>
          </c:extLst>
        </c:ser>
        <c:ser>
          <c:idx val="4"/>
          <c:order val="4"/>
          <c:tx>
            <c:strRef>
              <c:f>'PRESIDENCIA 24-25'!$K$2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5B9BD5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24-25'!$A$3:$A$13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24-25'!$K$3:$K$13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4-238B-094D-9A09-A23E114D7E9A}"/>
            </c:ext>
          </c:extLst>
        </c:ser>
        <c:ser>
          <c:idx val="5"/>
          <c:order val="5"/>
          <c:tx>
            <c:strRef>
              <c:f>'PRESIDENCIA 24-25'!$L$2</c:f>
              <c:strCache>
                <c:ptCount val="1"/>
                <c:pt idx="0">
                  <c:v>FEBRERO</c:v>
                </c:pt>
              </c:strCache>
            </c:strRef>
          </c:tx>
          <c:spPr>
            <a:solidFill>
              <a:srgbClr val="70AD47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24-25'!$A$3:$A$13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24-25'!$L$3:$L$13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5-238B-094D-9A09-A23E114D7E9A}"/>
            </c:ext>
          </c:extLst>
        </c:ser>
        <c:ser>
          <c:idx val="6"/>
          <c:order val="6"/>
          <c:tx>
            <c:strRef>
              <c:f>'PRESIDENCIA 24-25'!$M$2</c:f>
              <c:strCache>
                <c:ptCount val="1"/>
                <c:pt idx="0">
                  <c:v>MARZO</c:v>
                </c:pt>
              </c:strCache>
            </c:strRef>
          </c:tx>
          <c:spPr>
            <a:solidFill>
              <a:srgbClr val="B8CAE9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24-25'!$A$3:$A$13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24-25'!$M$3:$M$13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6-238B-094D-9A09-A23E114D7E9A}"/>
            </c:ext>
          </c:extLst>
        </c:ser>
        <c:ser>
          <c:idx val="7"/>
          <c:order val="7"/>
          <c:tx>
            <c:strRef>
              <c:f>'PRESIDENCIA 24-25'!$N$2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rgbClr val="F9D6BE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24-25'!$A$3:$A$13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24-25'!$N$3:$N$13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7-238B-094D-9A09-A23E114D7E9A}"/>
            </c:ext>
          </c:extLst>
        </c:ser>
        <c:ser>
          <c:idx val="8"/>
          <c:order val="8"/>
          <c:tx>
            <c:strRef>
              <c:f>'PRESIDENCIA 24-25'!$O$2</c:f>
              <c:strCache>
                <c:ptCount val="1"/>
                <c:pt idx="0">
                  <c:v>MAYO</c:v>
                </c:pt>
              </c:strCache>
            </c:strRef>
          </c:tx>
          <c:spPr>
            <a:solidFill>
              <a:srgbClr val="F1F1F1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24-25'!$A$3:$A$13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24-25'!$O$3:$O$13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8-238B-094D-9A09-A23E114D7E9A}"/>
            </c:ext>
          </c:extLst>
        </c:ser>
        <c:ser>
          <c:idx val="9"/>
          <c:order val="9"/>
          <c:tx>
            <c:strRef>
              <c:f>'PRESIDENCIA 24-25'!$P$2</c:f>
              <c:strCache>
                <c:ptCount val="1"/>
                <c:pt idx="0">
                  <c:v>JUNIO</c:v>
                </c:pt>
              </c:strCache>
            </c:strRef>
          </c:tx>
          <c:spPr>
            <a:solidFill>
              <a:srgbClr val="FFE699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24-25'!$A$3:$A$13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24-25'!$P$3:$P$13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9-238B-094D-9A09-A23E114D7E9A}"/>
            </c:ext>
          </c:extLst>
        </c:ser>
        <c:ser>
          <c:idx val="10"/>
          <c:order val="10"/>
          <c:tx>
            <c:strRef>
              <c:f>'PRESIDENCIA 24-25'!$Q$2</c:f>
              <c:strCache>
                <c:ptCount val="1"/>
                <c:pt idx="0">
                  <c:v>JULIO</c:v>
                </c:pt>
              </c:strCache>
            </c:strRef>
          </c:tx>
          <c:spPr>
            <a:solidFill>
              <a:srgbClr val="D5E5F4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24-25'!$A$3:$A$13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24-25'!$Q$3:$Q$13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A-238B-094D-9A09-A23E114D7E9A}"/>
            </c:ext>
          </c:extLst>
        </c:ser>
        <c:ser>
          <c:idx val="11"/>
          <c:order val="11"/>
          <c:tx>
            <c:strRef>
              <c:f>'PRESIDENCIA 24-25'!$R$2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rgbClr val="C2DEA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24-25'!$A$3:$A$13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24-25'!$R$3:$R$13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B-238B-094D-9A09-A23E114D7E9A}"/>
            </c:ext>
          </c:extLst>
        </c:ser>
        <c:ser>
          <c:idx val="12"/>
          <c:order val="12"/>
          <c:tx>
            <c:strRef>
              <c:f>'PRESIDENCIA 24-25'!$S$2</c:f>
              <c:strCache>
                <c:ptCount val="1"/>
                <c:pt idx="0">
                  <c:v>SEPTIEMBRE</c:v>
                </c:pt>
              </c:strCache>
            </c:strRef>
          </c:tx>
          <c:invertIfNegative val="1"/>
          <c:cat>
            <c:strRef>
              <c:f>'PRESIDENCIA 24-25'!$A$3:$A$13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24-25'!$S$3:$S$13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38B-094D-9A09-A23E114D7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07594549"/>
        <c:axId val="1077816579"/>
      </c:barChart>
      <c:catAx>
        <c:axId val="140759454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077816579"/>
        <c:crosses val="autoZero"/>
        <c:auto val="1"/>
        <c:lblAlgn val="ctr"/>
        <c:lblOffset val="100"/>
        <c:noMultiLvlLbl val="1"/>
      </c:catAx>
      <c:valAx>
        <c:axId val="107781657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407594549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s-MX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tx>
            <c:strRef>
              <c:f>'PRESIDENCIA 25-26'!$B$2</c:f>
              <c:strCache>
                <c:ptCount val="1"/>
                <c:pt idx="0">
                  <c:v>INDICADORES</c:v>
                </c:pt>
              </c:strCache>
            </c:strRef>
          </c:tx>
          <c:spPr>
            <a:solidFill>
              <a:srgbClr val="4472C4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25-26'!$A$3:$A$13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25-26'!$B$3:$B$13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A6-8843-8030-7C98FF78EF03}"/>
            </c:ext>
          </c:extLst>
        </c:ser>
        <c:ser>
          <c:idx val="1"/>
          <c:order val="1"/>
          <c:tx>
            <c:strRef>
              <c:f>'PRESIDENCIA 25-26'!$H$2</c:f>
              <c:strCache>
                <c:ptCount val="1"/>
                <c:pt idx="0">
                  <c:v>OCTUBRE</c:v>
                </c:pt>
              </c:strCache>
            </c:strRef>
          </c:tx>
          <c:spPr>
            <a:solidFill>
              <a:srgbClr val="ED7D31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25-26'!$A$3:$A$13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25-26'!$H$3:$H$13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A6-8843-8030-7C98FF78EF03}"/>
            </c:ext>
          </c:extLst>
        </c:ser>
        <c:ser>
          <c:idx val="2"/>
          <c:order val="2"/>
          <c:tx>
            <c:strRef>
              <c:f>'PRESIDENCIA 25-26'!$I$2</c:f>
              <c:strCache>
                <c:ptCount val="1"/>
                <c:pt idx="0">
                  <c:v>NOVIEMBRE</c:v>
                </c:pt>
              </c:strCache>
            </c:strRef>
          </c:tx>
          <c:spPr>
            <a:solidFill>
              <a:srgbClr val="A5A5A5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25-26'!$A$3:$A$13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25-26'!$I$3:$I$13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A6-8843-8030-7C98FF78EF03}"/>
            </c:ext>
          </c:extLst>
        </c:ser>
        <c:ser>
          <c:idx val="3"/>
          <c:order val="3"/>
          <c:tx>
            <c:strRef>
              <c:f>'PRESIDENCIA 25-26'!$J$2</c:f>
              <c:strCache>
                <c:ptCount val="1"/>
                <c:pt idx="0">
                  <c:v>DICIEMBRE</c:v>
                </c:pt>
              </c:strCache>
            </c:strRef>
          </c:tx>
          <c:spPr>
            <a:solidFill>
              <a:srgbClr val="FFC000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25-26'!$A$3:$A$13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25-26'!$J$3:$J$13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3-F8A6-8843-8030-7C98FF78EF03}"/>
            </c:ext>
          </c:extLst>
        </c:ser>
        <c:ser>
          <c:idx val="4"/>
          <c:order val="4"/>
          <c:tx>
            <c:strRef>
              <c:f>'PRESIDENCIA 25-26'!$K$2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5B9BD5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25-26'!$A$3:$A$13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25-26'!$K$3:$K$13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4-F8A6-8843-8030-7C98FF78EF03}"/>
            </c:ext>
          </c:extLst>
        </c:ser>
        <c:ser>
          <c:idx val="5"/>
          <c:order val="5"/>
          <c:tx>
            <c:strRef>
              <c:f>'PRESIDENCIA 25-26'!$L$2</c:f>
              <c:strCache>
                <c:ptCount val="1"/>
                <c:pt idx="0">
                  <c:v>FEBRERO</c:v>
                </c:pt>
              </c:strCache>
            </c:strRef>
          </c:tx>
          <c:spPr>
            <a:solidFill>
              <a:srgbClr val="70AD47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25-26'!$A$3:$A$13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25-26'!$L$3:$L$13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5-F8A6-8843-8030-7C98FF78EF03}"/>
            </c:ext>
          </c:extLst>
        </c:ser>
        <c:ser>
          <c:idx val="6"/>
          <c:order val="6"/>
          <c:tx>
            <c:strRef>
              <c:f>'PRESIDENCIA 25-26'!$M$2</c:f>
              <c:strCache>
                <c:ptCount val="1"/>
                <c:pt idx="0">
                  <c:v>MARZO</c:v>
                </c:pt>
              </c:strCache>
            </c:strRef>
          </c:tx>
          <c:spPr>
            <a:solidFill>
              <a:srgbClr val="B8CAE9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25-26'!$A$3:$A$13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25-26'!$M$3:$M$13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6-F8A6-8843-8030-7C98FF78EF03}"/>
            </c:ext>
          </c:extLst>
        </c:ser>
        <c:ser>
          <c:idx val="7"/>
          <c:order val="7"/>
          <c:tx>
            <c:strRef>
              <c:f>'PRESIDENCIA 25-26'!$N$2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rgbClr val="F9D6BE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25-26'!$A$3:$A$13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25-26'!$N$3:$N$13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7-F8A6-8843-8030-7C98FF78EF03}"/>
            </c:ext>
          </c:extLst>
        </c:ser>
        <c:ser>
          <c:idx val="8"/>
          <c:order val="8"/>
          <c:tx>
            <c:strRef>
              <c:f>'PRESIDENCIA 25-26'!$O$2</c:f>
              <c:strCache>
                <c:ptCount val="1"/>
                <c:pt idx="0">
                  <c:v>MAYO</c:v>
                </c:pt>
              </c:strCache>
            </c:strRef>
          </c:tx>
          <c:spPr>
            <a:solidFill>
              <a:srgbClr val="F1F1F1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25-26'!$A$3:$A$13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25-26'!$O$3:$O$13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8-F8A6-8843-8030-7C98FF78EF03}"/>
            </c:ext>
          </c:extLst>
        </c:ser>
        <c:ser>
          <c:idx val="9"/>
          <c:order val="9"/>
          <c:tx>
            <c:strRef>
              <c:f>'PRESIDENCIA 25-26'!$P$2</c:f>
              <c:strCache>
                <c:ptCount val="1"/>
                <c:pt idx="0">
                  <c:v>JUNIO</c:v>
                </c:pt>
              </c:strCache>
            </c:strRef>
          </c:tx>
          <c:spPr>
            <a:solidFill>
              <a:srgbClr val="FFE699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25-26'!$A$3:$A$13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25-26'!$P$3:$P$13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9-F8A6-8843-8030-7C98FF78EF03}"/>
            </c:ext>
          </c:extLst>
        </c:ser>
        <c:ser>
          <c:idx val="10"/>
          <c:order val="10"/>
          <c:tx>
            <c:strRef>
              <c:f>'PRESIDENCIA 25-26'!$Q$2</c:f>
              <c:strCache>
                <c:ptCount val="1"/>
                <c:pt idx="0">
                  <c:v>JULIO</c:v>
                </c:pt>
              </c:strCache>
            </c:strRef>
          </c:tx>
          <c:spPr>
            <a:solidFill>
              <a:srgbClr val="D5E5F4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25-26'!$A$3:$A$13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25-26'!$Q$3:$Q$13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A-F8A6-8843-8030-7C98FF78EF03}"/>
            </c:ext>
          </c:extLst>
        </c:ser>
        <c:ser>
          <c:idx val="11"/>
          <c:order val="11"/>
          <c:tx>
            <c:strRef>
              <c:f>'PRESIDENCIA 25-26'!$R$2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rgbClr val="C2DEA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25-26'!$A$3:$A$13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25-26'!$R$3:$R$13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B-F8A6-8843-8030-7C98FF78EF03}"/>
            </c:ext>
          </c:extLst>
        </c:ser>
        <c:ser>
          <c:idx val="12"/>
          <c:order val="12"/>
          <c:tx>
            <c:strRef>
              <c:f>'PRESIDENCIA 25-26'!$S$2</c:f>
              <c:strCache>
                <c:ptCount val="1"/>
                <c:pt idx="0">
                  <c:v>SEPTIEMBRE</c:v>
                </c:pt>
              </c:strCache>
            </c:strRef>
          </c:tx>
          <c:invertIfNegative val="1"/>
          <c:cat>
            <c:strRef>
              <c:f>'PRESIDENCIA 25-26'!$A$3:$A$13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25-26'!$S$3:$S$13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8A6-8843-8030-7C98FF78E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13347051"/>
        <c:axId val="1301393506"/>
      </c:barChart>
      <c:catAx>
        <c:axId val="131334705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301393506"/>
        <c:crosses val="autoZero"/>
        <c:auto val="1"/>
        <c:lblAlgn val="ctr"/>
        <c:lblOffset val="100"/>
        <c:noMultiLvlLbl val="1"/>
      </c:catAx>
      <c:valAx>
        <c:axId val="130139350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313347051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s-MX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'PRESIDENCIA 26-27'!$B$2</c:f>
              <c:strCache>
                <c:ptCount val="1"/>
                <c:pt idx="0">
                  <c:v>INDICADORES</c:v>
                </c:pt>
              </c:strCache>
            </c:strRef>
          </c:tx>
          <c:spPr>
            <a:solidFill>
              <a:srgbClr val="4472C4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26-27'!$A$3:$A$13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26-27'!$B$3:$B$13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156E-114F-BE9B-585A872BC4FF}"/>
            </c:ext>
          </c:extLst>
        </c:ser>
        <c:ser>
          <c:idx val="1"/>
          <c:order val="1"/>
          <c:tx>
            <c:strRef>
              <c:f>'PRESIDENCIA 26-27'!$H$2</c:f>
              <c:strCache>
                <c:ptCount val="1"/>
                <c:pt idx="0">
                  <c:v>OCTUBRE</c:v>
                </c:pt>
              </c:strCache>
            </c:strRef>
          </c:tx>
          <c:spPr>
            <a:solidFill>
              <a:srgbClr val="ED7D31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26-27'!$A$3:$A$13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26-27'!$H$3:$H$13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156E-114F-BE9B-585A872BC4FF}"/>
            </c:ext>
          </c:extLst>
        </c:ser>
        <c:ser>
          <c:idx val="2"/>
          <c:order val="2"/>
          <c:tx>
            <c:strRef>
              <c:f>'PRESIDENCIA 26-27'!$I$2</c:f>
              <c:strCache>
                <c:ptCount val="1"/>
                <c:pt idx="0">
                  <c:v>NOVIEMBRE</c:v>
                </c:pt>
              </c:strCache>
            </c:strRef>
          </c:tx>
          <c:spPr>
            <a:solidFill>
              <a:srgbClr val="A5A5A5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26-27'!$A$3:$A$13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26-27'!$I$3:$I$13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156E-114F-BE9B-585A872BC4FF}"/>
            </c:ext>
          </c:extLst>
        </c:ser>
        <c:ser>
          <c:idx val="3"/>
          <c:order val="3"/>
          <c:tx>
            <c:strRef>
              <c:f>'PRESIDENCIA 26-27'!$J$2</c:f>
              <c:strCache>
                <c:ptCount val="1"/>
                <c:pt idx="0">
                  <c:v>DICIEMBRE</c:v>
                </c:pt>
              </c:strCache>
            </c:strRef>
          </c:tx>
          <c:spPr>
            <a:solidFill>
              <a:srgbClr val="FFC000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26-27'!$A$3:$A$13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26-27'!$J$3:$J$13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3-156E-114F-BE9B-585A872BC4FF}"/>
            </c:ext>
          </c:extLst>
        </c:ser>
        <c:ser>
          <c:idx val="4"/>
          <c:order val="4"/>
          <c:tx>
            <c:strRef>
              <c:f>'PRESIDENCIA 26-27'!$K$2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5B9BD5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26-27'!$A$3:$A$13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26-27'!$K$3:$K$13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4-156E-114F-BE9B-585A872BC4FF}"/>
            </c:ext>
          </c:extLst>
        </c:ser>
        <c:ser>
          <c:idx val="5"/>
          <c:order val="5"/>
          <c:tx>
            <c:strRef>
              <c:f>'PRESIDENCIA 26-27'!$L$2</c:f>
              <c:strCache>
                <c:ptCount val="1"/>
                <c:pt idx="0">
                  <c:v>FEBRERO</c:v>
                </c:pt>
              </c:strCache>
            </c:strRef>
          </c:tx>
          <c:spPr>
            <a:solidFill>
              <a:srgbClr val="70AD47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26-27'!$A$3:$A$13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26-27'!$L$3:$L$13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5-156E-114F-BE9B-585A872BC4FF}"/>
            </c:ext>
          </c:extLst>
        </c:ser>
        <c:ser>
          <c:idx val="6"/>
          <c:order val="6"/>
          <c:tx>
            <c:strRef>
              <c:f>'PRESIDENCIA 26-27'!$M$2</c:f>
              <c:strCache>
                <c:ptCount val="1"/>
                <c:pt idx="0">
                  <c:v>MARZO</c:v>
                </c:pt>
              </c:strCache>
            </c:strRef>
          </c:tx>
          <c:spPr>
            <a:solidFill>
              <a:srgbClr val="B8CAE9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26-27'!$A$3:$A$13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26-27'!$M$3:$M$13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6-156E-114F-BE9B-585A872BC4FF}"/>
            </c:ext>
          </c:extLst>
        </c:ser>
        <c:ser>
          <c:idx val="7"/>
          <c:order val="7"/>
          <c:tx>
            <c:strRef>
              <c:f>'PRESIDENCIA 26-27'!$N$2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rgbClr val="F9D6BE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26-27'!$A$3:$A$13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26-27'!$N$3:$N$13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7-156E-114F-BE9B-585A872BC4FF}"/>
            </c:ext>
          </c:extLst>
        </c:ser>
        <c:ser>
          <c:idx val="8"/>
          <c:order val="8"/>
          <c:tx>
            <c:strRef>
              <c:f>'PRESIDENCIA 26-27'!$O$2</c:f>
              <c:strCache>
                <c:ptCount val="1"/>
                <c:pt idx="0">
                  <c:v>MAYO</c:v>
                </c:pt>
              </c:strCache>
            </c:strRef>
          </c:tx>
          <c:spPr>
            <a:solidFill>
              <a:srgbClr val="F1F1F1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26-27'!$A$3:$A$13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26-27'!$O$3:$O$13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8-156E-114F-BE9B-585A872BC4FF}"/>
            </c:ext>
          </c:extLst>
        </c:ser>
        <c:ser>
          <c:idx val="9"/>
          <c:order val="9"/>
          <c:tx>
            <c:strRef>
              <c:f>'PRESIDENCIA 26-27'!$P$2</c:f>
              <c:strCache>
                <c:ptCount val="1"/>
                <c:pt idx="0">
                  <c:v>JUNIO</c:v>
                </c:pt>
              </c:strCache>
            </c:strRef>
          </c:tx>
          <c:spPr>
            <a:solidFill>
              <a:srgbClr val="FFE699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26-27'!$A$3:$A$13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26-27'!$P$3:$P$13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9-156E-114F-BE9B-585A872BC4FF}"/>
            </c:ext>
          </c:extLst>
        </c:ser>
        <c:ser>
          <c:idx val="10"/>
          <c:order val="10"/>
          <c:tx>
            <c:strRef>
              <c:f>'PRESIDENCIA 26-27'!$Q$2</c:f>
              <c:strCache>
                <c:ptCount val="1"/>
                <c:pt idx="0">
                  <c:v>JULIO</c:v>
                </c:pt>
              </c:strCache>
            </c:strRef>
          </c:tx>
          <c:spPr>
            <a:solidFill>
              <a:srgbClr val="D5E5F4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26-27'!$A$3:$A$13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26-27'!$Q$3:$Q$13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A-156E-114F-BE9B-585A872BC4FF}"/>
            </c:ext>
          </c:extLst>
        </c:ser>
        <c:ser>
          <c:idx val="11"/>
          <c:order val="11"/>
          <c:tx>
            <c:strRef>
              <c:f>'PRESIDENCIA 26-27'!$R$2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rgbClr val="C2DEA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26-27'!$A$3:$A$13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26-27'!$R$3:$R$13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B-156E-114F-BE9B-585A872BC4FF}"/>
            </c:ext>
          </c:extLst>
        </c:ser>
        <c:ser>
          <c:idx val="12"/>
          <c:order val="12"/>
          <c:tx>
            <c:strRef>
              <c:f>'PRESIDENCIA 26-27'!$S$2</c:f>
              <c:strCache>
                <c:ptCount val="1"/>
                <c:pt idx="0">
                  <c:v>SEPTIEMBRE</c:v>
                </c:pt>
              </c:strCache>
            </c:strRef>
          </c:tx>
          <c:invertIfNegative val="1"/>
          <c:cat>
            <c:strRef>
              <c:f>'PRESIDENCIA 26-27'!$A$3:$A$13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26-27'!$S$3:$S$13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56E-114F-BE9B-585A872BC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3354232"/>
        <c:axId val="466264083"/>
      </c:barChart>
      <c:catAx>
        <c:axId val="903354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466264083"/>
        <c:crosses val="autoZero"/>
        <c:auto val="1"/>
        <c:lblAlgn val="ctr"/>
        <c:lblOffset val="100"/>
        <c:noMultiLvlLbl val="1"/>
      </c:catAx>
      <c:valAx>
        <c:axId val="46626408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903354232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s-MX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9525</xdr:rowOff>
    </xdr:from>
    <xdr:ext cx="23260050" cy="7010400"/>
    <xdr:graphicFrame macro="">
      <xdr:nvGraphicFramePr>
        <xdr:cNvPr id="283785101" name="Chart 1" title="Gráfico">
          <a:extLst>
            <a:ext uri="{FF2B5EF4-FFF2-40B4-BE49-F238E27FC236}">
              <a16:creationId xmlns:a16="http://schemas.microsoft.com/office/drawing/2014/main" id="{00000000-0008-0000-0300-00008D37EA1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0</xdr:colOff>
      <xdr:row>0</xdr:row>
      <xdr:rowOff>0</xdr:rowOff>
    </xdr:from>
    <xdr:ext cx="1104900" cy="17049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9525</xdr:rowOff>
    </xdr:from>
    <xdr:ext cx="23269575" cy="7019925"/>
    <xdr:graphicFrame macro="">
      <xdr:nvGraphicFramePr>
        <xdr:cNvPr id="2049467717" name="Chart 2" title="Gráfico">
          <a:extLst>
            <a:ext uri="{FF2B5EF4-FFF2-40B4-BE49-F238E27FC236}">
              <a16:creationId xmlns:a16="http://schemas.microsoft.com/office/drawing/2014/main" id="{00000000-0008-0000-0400-0000456528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0</xdr:colOff>
      <xdr:row>0</xdr:row>
      <xdr:rowOff>0</xdr:rowOff>
    </xdr:from>
    <xdr:ext cx="1104900" cy="17049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1676400</xdr:rowOff>
    </xdr:from>
    <xdr:ext cx="23279100" cy="7019925"/>
    <xdr:graphicFrame macro="">
      <xdr:nvGraphicFramePr>
        <xdr:cNvPr id="1925253949" name="Chart 3" title="Gráfico">
          <a:extLst>
            <a:ext uri="{FF2B5EF4-FFF2-40B4-BE49-F238E27FC236}">
              <a16:creationId xmlns:a16="http://schemas.microsoft.com/office/drawing/2014/main" id="{00000000-0008-0000-0500-00003D0BC17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0</xdr:colOff>
      <xdr:row>0</xdr:row>
      <xdr:rowOff>0</xdr:rowOff>
    </xdr:from>
    <xdr:ext cx="1104900" cy="17049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408"/>
  <sheetViews>
    <sheetView tabSelected="1" topLeftCell="B1" workbookViewId="0">
      <pane ySplit="1" topLeftCell="A2" activePane="bottomLeft" state="frozen"/>
      <selection pane="bottomLeft" activeCell="C419" sqref="C419"/>
    </sheetView>
  </sheetViews>
  <sheetFormatPr baseColWidth="10" defaultColWidth="11.1640625" defaultRowHeight="15" customHeight="1"/>
  <cols>
    <col min="1" max="1" width="46.1640625" customWidth="1"/>
    <col min="2" max="2" width="48.33203125" customWidth="1"/>
    <col min="3" max="3" width="57" customWidth="1"/>
    <col min="4" max="4" width="14.6640625" customWidth="1"/>
    <col min="5" max="6" width="21.1640625" customWidth="1"/>
    <col min="7" max="7" width="26.33203125" customWidth="1"/>
    <col min="8" max="8" width="13.6640625" customWidth="1"/>
    <col min="9" max="11" width="10.83203125" customWidth="1"/>
    <col min="12" max="16" width="10.5" customWidth="1"/>
    <col min="17" max="17" width="14" customWidth="1"/>
    <col min="18" max="18" width="11" customWidth="1"/>
    <col min="19" max="19" width="13.1640625" customWidth="1"/>
    <col min="20" max="21" width="12.33203125" customWidth="1"/>
  </cols>
  <sheetData>
    <row r="1" spans="1:21" ht="39.75" customHeight="1">
      <c r="A1" s="36" t="s">
        <v>0</v>
      </c>
      <c r="B1" s="37"/>
      <c r="C1" s="37"/>
      <c r="D1" s="37"/>
      <c r="E1" s="37"/>
      <c r="F1" s="37"/>
      <c r="G1" s="37"/>
      <c r="H1" s="38"/>
      <c r="I1" s="36" t="s">
        <v>1</v>
      </c>
      <c r="J1" s="37"/>
      <c r="K1" s="37"/>
      <c r="L1" s="37"/>
      <c r="M1" s="37"/>
      <c r="N1" s="37"/>
      <c r="O1" s="38"/>
      <c r="P1" s="39" t="s">
        <v>2</v>
      </c>
      <c r="Q1" s="37"/>
      <c r="R1" s="37"/>
      <c r="S1" s="37"/>
      <c r="T1" s="37"/>
      <c r="U1" s="38"/>
    </row>
    <row r="2" spans="1:21" ht="39.75" customHeight="1" thickTop="1" thickBot="1">
      <c r="A2" s="1" t="s">
        <v>3</v>
      </c>
      <c r="B2" s="2" t="s">
        <v>4</v>
      </c>
      <c r="C2" s="2" t="s">
        <v>5</v>
      </c>
      <c r="D2" s="2" t="s">
        <v>6</v>
      </c>
      <c r="E2" s="2" t="s">
        <v>7</v>
      </c>
      <c r="F2" s="2" t="s">
        <v>8</v>
      </c>
      <c r="G2" s="2" t="s">
        <v>9</v>
      </c>
      <c r="H2" s="2" t="s">
        <v>10</v>
      </c>
      <c r="I2" s="2" t="s">
        <v>11</v>
      </c>
      <c r="J2" s="3" t="s">
        <v>12</v>
      </c>
      <c r="K2" s="3" t="s">
        <v>13</v>
      </c>
      <c r="L2" s="3" t="s">
        <v>14</v>
      </c>
      <c r="M2" s="3" t="s">
        <v>15</v>
      </c>
      <c r="N2" s="3" t="s">
        <v>16</v>
      </c>
      <c r="O2" s="3" t="s">
        <v>17</v>
      </c>
      <c r="P2" s="3" t="s">
        <v>18</v>
      </c>
      <c r="Q2" s="3" t="s">
        <v>19</v>
      </c>
      <c r="R2" s="3" t="s">
        <v>20</v>
      </c>
      <c r="S2" s="3" t="s">
        <v>21</v>
      </c>
      <c r="T2" s="3" t="s">
        <v>22</v>
      </c>
      <c r="U2" s="2" t="s">
        <v>23</v>
      </c>
    </row>
    <row r="3" spans="1:21" ht="39.75" customHeight="1" thickTop="1" thickBot="1">
      <c r="A3" s="32" t="s">
        <v>24</v>
      </c>
      <c r="B3" s="29" t="s">
        <v>24</v>
      </c>
      <c r="C3" s="4" t="s">
        <v>25</v>
      </c>
      <c r="D3" s="5">
        <f>'PRESIDENCIA 24-25'!C3</f>
        <v>180</v>
      </c>
      <c r="E3" s="5" t="str">
        <f>'PRESIDENCIA 24-25'!D3</f>
        <v>CITA</v>
      </c>
      <c r="F3" s="5" t="str">
        <f>'PRESIDENCIA 24-25'!E3</f>
        <v>ASCENDENTE</v>
      </c>
      <c r="G3" s="5" t="str">
        <f>'PRESIDENCIA 24-25'!F3</f>
        <v>BITACORA DE ATENCION</v>
      </c>
      <c r="H3" s="5">
        <v>0</v>
      </c>
      <c r="I3" s="5">
        <v>0</v>
      </c>
      <c r="J3" s="5">
        <v>0</v>
      </c>
      <c r="K3" s="5">
        <v>50</v>
      </c>
      <c r="L3" s="5">
        <v>0</v>
      </c>
      <c r="M3" s="5">
        <v>0</v>
      </c>
      <c r="N3" s="5">
        <v>0</v>
      </c>
      <c r="O3" s="5">
        <v>0</v>
      </c>
      <c r="P3" s="5">
        <v>0</v>
      </c>
      <c r="Q3" s="5">
        <v>0</v>
      </c>
      <c r="R3" s="5">
        <v>0</v>
      </c>
      <c r="S3" s="5">
        <v>0</v>
      </c>
      <c r="T3" s="5">
        <v>50</v>
      </c>
      <c r="U3" s="5">
        <f>SUM(I3:T3)</f>
        <v>100</v>
      </c>
    </row>
    <row r="4" spans="1:21" ht="39.75" customHeight="1" thickTop="1" thickBot="1">
      <c r="A4" s="30"/>
      <c r="B4" s="31"/>
      <c r="C4" s="4" t="s">
        <v>26</v>
      </c>
      <c r="D4" s="5">
        <f>'PRESIDENCIA 24-25'!C4</f>
        <v>780</v>
      </c>
      <c r="E4" s="5" t="str">
        <f>'PRESIDENCIA 24-25'!D4</f>
        <v>NÚM. DE PERSONAS</v>
      </c>
      <c r="F4" s="5" t="str">
        <f>'PRESIDENCIA 24-25'!E4</f>
        <v>ASCENDENTE</v>
      </c>
      <c r="G4" s="5" t="str">
        <f>'PRESIDENCIA 24-25'!F4</f>
        <v>BITACORA DE ATENCION</v>
      </c>
      <c r="H4" s="5">
        <v>0</v>
      </c>
      <c r="I4" s="5">
        <v>0</v>
      </c>
      <c r="J4" s="5">
        <v>0</v>
      </c>
      <c r="K4" s="5">
        <v>30</v>
      </c>
      <c r="L4" s="5">
        <v>0</v>
      </c>
      <c r="M4" s="5">
        <v>0</v>
      </c>
      <c r="N4" s="5">
        <v>0</v>
      </c>
      <c r="O4" s="5">
        <v>0</v>
      </c>
      <c r="P4" s="5">
        <v>0</v>
      </c>
      <c r="Q4" s="5">
        <v>0</v>
      </c>
      <c r="R4" s="5">
        <v>0</v>
      </c>
      <c r="S4" s="5">
        <v>0</v>
      </c>
      <c r="T4" s="5">
        <v>30</v>
      </c>
      <c r="U4" s="5">
        <f t="shared" ref="U4:U13" si="0">SUM(I4:T4)</f>
        <v>60</v>
      </c>
    </row>
    <row r="5" spans="1:21" ht="39.75" customHeight="1" thickTop="1" thickBot="1">
      <c r="A5" s="30"/>
      <c r="B5" s="29" t="s">
        <v>27</v>
      </c>
      <c r="C5" s="4" t="s">
        <v>26</v>
      </c>
      <c r="D5" s="5">
        <f>'PRESIDENCIA 24-25'!C5</f>
        <v>780</v>
      </c>
      <c r="E5" s="5" t="str">
        <f>'PRESIDENCIA 24-25'!D5</f>
        <v>NUM. PERSONAS</v>
      </c>
      <c r="F5" s="5" t="str">
        <f>'PRESIDENCIA 24-25'!E5</f>
        <v>ASCENDENTE</v>
      </c>
      <c r="G5" s="5" t="str">
        <f>'PRESIDENCIA 24-25'!F5</f>
        <v>BITACORA DE ATENCION</v>
      </c>
      <c r="H5" s="5">
        <v>0</v>
      </c>
      <c r="I5" s="5">
        <v>0</v>
      </c>
      <c r="J5" s="5">
        <v>0</v>
      </c>
      <c r="K5" s="5">
        <v>0</v>
      </c>
      <c r="L5" s="5">
        <v>0</v>
      </c>
      <c r="M5" s="5">
        <v>0</v>
      </c>
      <c r="N5" s="5">
        <v>0</v>
      </c>
      <c r="O5" s="5">
        <v>0</v>
      </c>
      <c r="P5" s="5">
        <v>0</v>
      </c>
      <c r="Q5" s="5">
        <v>0</v>
      </c>
      <c r="R5" s="5">
        <v>0</v>
      </c>
      <c r="S5" s="5">
        <v>0</v>
      </c>
      <c r="T5" s="5">
        <v>0</v>
      </c>
      <c r="U5" s="5">
        <f t="shared" si="0"/>
        <v>0</v>
      </c>
    </row>
    <row r="6" spans="1:21" ht="39.75" customHeight="1" thickTop="1" thickBot="1">
      <c r="A6" s="30"/>
      <c r="B6" s="31"/>
      <c r="C6" s="4" t="s">
        <v>28</v>
      </c>
      <c r="D6" s="5">
        <f>'PRESIDENCIA 24-25'!C6</f>
        <v>100</v>
      </c>
      <c r="E6" s="5" t="str">
        <f>'PRESIDENCIA 24-25'!D6</f>
        <v>NÚM. ACUERDOS</v>
      </c>
      <c r="F6" s="5" t="str">
        <f>'PRESIDENCIA 24-25'!E6</f>
        <v>ASCENDENTE</v>
      </c>
      <c r="G6" s="5" t="str">
        <f>'PRESIDENCIA 24-25'!F6</f>
        <v>MINUTA DE REUNION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5">
        <v>0</v>
      </c>
      <c r="Q6" s="5">
        <v>0</v>
      </c>
      <c r="R6" s="5">
        <v>0</v>
      </c>
      <c r="S6" s="5">
        <v>0</v>
      </c>
      <c r="T6" s="5">
        <v>0</v>
      </c>
      <c r="U6" s="5">
        <f t="shared" si="0"/>
        <v>0</v>
      </c>
    </row>
    <row r="7" spans="1:21" ht="39.75" customHeight="1" thickTop="1" thickBot="1">
      <c r="A7" s="30"/>
      <c r="B7" s="29" t="s">
        <v>29</v>
      </c>
      <c r="C7" s="4" t="s">
        <v>30</v>
      </c>
      <c r="D7" s="5">
        <f>'PRESIDENCIA 24-25'!C7</f>
        <v>350</v>
      </c>
      <c r="E7" s="5" t="str">
        <f>'PRESIDENCIA 24-25'!D7</f>
        <v>NÚM. DE SOLICITUDES</v>
      </c>
      <c r="F7" s="5" t="str">
        <f>'PRESIDENCIA 24-25'!E7</f>
        <v>ASCENDENTE</v>
      </c>
      <c r="G7" s="5" t="str">
        <f>'PRESIDENCIA 24-25'!F7</f>
        <v>PNT</v>
      </c>
      <c r="H7" s="5">
        <v>41</v>
      </c>
      <c r="I7" s="5">
        <v>60</v>
      </c>
      <c r="J7" s="5">
        <v>39</v>
      </c>
      <c r="K7" s="5">
        <v>52</v>
      </c>
      <c r="L7" s="5">
        <v>56</v>
      </c>
      <c r="M7" s="5">
        <v>63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311</v>
      </c>
      <c r="U7" s="5">
        <f t="shared" si="0"/>
        <v>581</v>
      </c>
    </row>
    <row r="8" spans="1:21" ht="39.75" customHeight="1" thickTop="1" thickBot="1">
      <c r="A8" s="30"/>
      <c r="B8" s="31"/>
      <c r="C8" s="4" t="s">
        <v>31</v>
      </c>
      <c r="D8" s="5">
        <f>'PRESIDENCIA 24-25'!C8</f>
        <v>12</v>
      </c>
      <c r="E8" s="5" t="str">
        <f>'PRESIDENCIA 24-25'!D8</f>
        <v>NÚM. DE CAPACITACIONES</v>
      </c>
      <c r="F8" s="5" t="str">
        <f>'PRESIDENCIA 24-25'!E8</f>
        <v>ASCENDENTE</v>
      </c>
      <c r="G8" s="5" t="str">
        <f>'PRESIDENCIA 24-25'!F8</f>
        <v>PROGRAMA ANUAL DE CAPACITACIONES</v>
      </c>
      <c r="H8" s="5">
        <v>0</v>
      </c>
      <c r="I8" s="5">
        <v>0</v>
      </c>
      <c r="J8" s="5">
        <v>1</v>
      </c>
      <c r="K8" s="5">
        <v>0</v>
      </c>
      <c r="L8" s="5">
        <v>0</v>
      </c>
      <c r="M8" s="5">
        <v>1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2</v>
      </c>
      <c r="U8" s="5">
        <f t="shared" si="0"/>
        <v>4</v>
      </c>
    </row>
    <row r="9" spans="1:21" ht="39.75" customHeight="1" thickTop="1" thickBot="1">
      <c r="A9" s="30"/>
      <c r="B9" s="29" t="s">
        <v>32</v>
      </c>
      <c r="C9" s="4" t="s">
        <v>33</v>
      </c>
      <c r="D9" s="5">
        <f>'PRESIDENCIA 24-25'!C9</f>
        <v>520</v>
      </c>
      <c r="E9" s="5" t="str">
        <f>'PRESIDENCIA 24-25'!D9</f>
        <v>NÚM. DE NOTAS PUBLICADAS</v>
      </c>
      <c r="F9" s="5" t="str">
        <f>'PRESIDENCIA 24-25'!E9</f>
        <v>ASCENDENTE</v>
      </c>
      <c r="G9" s="5" t="str">
        <f>'PRESIDENCIA 24-25'!F9</f>
        <v>BITACORA OPERATIVA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f t="shared" si="0"/>
        <v>0</v>
      </c>
    </row>
    <row r="10" spans="1:21" ht="39.75" customHeight="1" thickTop="1" thickBot="1">
      <c r="A10" s="30"/>
      <c r="B10" s="30"/>
      <c r="C10" s="4" t="s">
        <v>34</v>
      </c>
      <c r="D10" s="5">
        <f>'PRESIDENCIA 24-25'!C10</f>
        <v>500</v>
      </c>
      <c r="E10" s="5" t="str">
        <f>'PRESIDENCIA 24-25'!D10</f>
        <v>NÚM. DE DISEÑOS REALIZADOS</v>
      </c>
      <c r="F10" s="5" t="str">
        <f>'PRESIDENCIA 24-25'!E10</f>
        <v>ASCENDENTE</v>
      </c>
      <c r="G10" s="5" t="str">
        <f>'PRESIDENCIA 24-25'!F10</f>
        <v>BITACORA OPERATIVA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f t="shared" si="0"/>
        <v>0</v>
      </c>
    </row>
    <row r="11" spans="1:21" ht="39.75" customHeight="1" thickTop="1" thickBot="1">
      <c r="A11" s="30"/>
      <c r="B11" s="31"/>
      <c r="C11" s="4" t="s">
        <v>35</v>
      </c>
      <c r="D11" s="5">
        <f>'PRESIDENCIA 24-25'!C11</f>
        <v>320</v>
      </c>
      <c r="E11" s="5" t="str">
        <f>'PRESIDENCIA 24-25'!D11</f>
        <v>NÚM. DE PUBLICCIONES</v>
      </c>
      <c r="F11" s="5" t="str">
        <f>'PRESIDENCIA 24-25'!E11</f>
        <v>ASCENDENTE</v>
      </c>
      <c r="G11" s="5" t="str">
        <f>'PRESIDENCIA 24-25'!F11</f>
        <v>BITACORA OPERATIVA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f t="shared" si="0"/>
        <v>0</v>
      </c>
    </row>
    <row r="12" spans="1:21" ht="39.75" customHeight="1" thickTop="1" thickBot="1">
      <c r="A12" s="30"/>
      <c r="B12" s="29" t="s">
        <v>36</v>
      </c>
      <c r="C12" s="4" t="s">
        <v>37</v>
      </c>
      <c r="D12" s="5">
        <f>'PRESIDENCIA 24-25'!C12</f>
        <v>14</v>
      </c>
      <c r="E12" s="5" t="str">
        <f>'PRESIDENCIA 24-25'!D12</f>
        <v>NÚM. DE PROGRAMAS IMPLEMENTADOS</v>
      </c>
      <c r="F12" s="5" t="str">
        <f>'PRESIDENCIA 24-25'!E12</f>
        <v>ASCENDENTE</v>
      </c>
      <c r="G12" s="5" t="str">
        <f>'PRESIDENCIA 24-25'!F12</f>
        <v>PADRON UNICO DE BENEFICIADOS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f t="shared" si="0"/>
        <v>0</v>
      </c>
    </row>
    <row r="13" spans="1:21" ht="39.75" customHeight="1" thickTop="1" thickBot="1">
      <c r="A13" s="31"/>
      <c r="B13" s="31"/>
      <c r="C13" s="4" t="s">
        <v>38</v>
      </c>
      <c r="D13" s="5">
        <f>'PRESIDENCIA 24-25'!C13</f>
        <v>66</v>
      </c>
      <c r="E13" s="5" t="str">
        <f>'PRESIDENCIA 24-25'!D13</f>
        <v>NUM. PERSONAS</v>
      </c>
      <c r="F13" s="5" t="str">
        <f>'PRESIDENCIA 24-25'!E13</f>
        <v>ASCENDENTE</v>
      </c>
      <c r="G13" s="5" t="str">
        <f>'PRESIDENCIA 24-25'!F13</f>
        <v>PADRON UNICO DE BENEFICIADOS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f t="shared" si="0"/>
        <v>0</v>
      </c>
    </row>
    <row r="14" spans="1:21" ht="39.75" customHeight="1" thickTop="1" thickBot="1">
      <c r="A14" s="32" t="s">
        <v>39</v>
      </c>
      <c r="B14" s="34" t="s">
        <v>40</v>
      </c>
      <c r="C14" s="7" t="s">
        <v>37</v>
      </c>
      <c r="D14" s="5">
        <f ca="1">SIN1PERIODO!B2</f>
        <v>10</v>
      </c>
      <c r="E14" s="5" t="str">
        <f ca="1">SIN1PERIODO!C2</f>
        <v>PROGRAMAS</v>
      </c>
      <c r="F14" s="5" t="str">
        <f ca="1">SIN1PERIODO!D2</f>
        <v>ASCENDENTE</v>
      </c>
      <c r="G14" s="5" t="str">
        <f ca="1">SIN1PERIODO!E2</f>
        <v>PROGRAMA OPERATIVO ANUAL</v>
      </c>
      <c r="H14" s="5">
        <f ca="1">SIN1PERIODO!F2</f>
        <v>10</v>
      </c>
      <c r="I14" s="5">
        <f ca="1">SIN1PERIODO!G2</f>
        <v>0</v>
      </c>
      <c r="J14" s="5">
        <f ca="1">SIN1PERIODO!H2</f>
        <v>0</v>
      </c>
      <c r="K14" s="5">
        <f ca="1">SIN1PERIODO!I2</f>
        <v>0</v>
      </c>
      <c r="L14" s="5">
        <f ca="1">SIN1PERIODO!J2</f>
        <v>1</v>
      </c>
      <c r="M14" s="5">
        <f ca="1">SIN1PERIODO!K2</f>
        <v>0</v>
      </c>
      <c r="N14" s="5">
        <f ca="1">SIN1PERIODO!L2</f>
        <v>0</v>
      </c>
      <c r="O14" s="5">
        <f ca="1">SIN1PERIODO!M2</f>
        <v>0</v>
      </c>
      <c r="P14" s="5">
        <f ca="1">SIN1PERIODO!N2</f>
        <v>0</v>
      </c>
      <c r="Q14" s="5">
        <f ca="1">SIN1PERIODO!O2</f>
        <v>0</v>
      </c>
      <c r="R14" s="5">
        <f ca="1">SIN1PERIODO!P2</f>
        <v>0</v>
      </c>
      <c r="S14" s="5">
        <f ca="1">SIN1PERIODO!Q2</f>
        <v>0</v>
      </c>
      <c r="T14" s="5">
        <f ca="1">SIN1PERIODO!R2</f>
        <v>0</v>
      </c>
      <c r="U14" s="5">
        <f ca="1">SIN1PERIODO!S2</f>
        <v>1</v>
      </c>
    </row>
    <row r="15" spans="1:21" ht="39.75" customHeight="1">
      <c r="A15" s="30"/>
      <c r="B15" s="31"/>
      <c r="C15" s="7" t="s">
        <v>38</v>
      </c>
      <c r="D15" s="5">
        <f ca="1">SIN1PERIODO!B3</f>
        <v>780</v>
      </c>
      <c r="E15" s="5" t="str">
        <f ca="1">SIN1PERIODO!C3</f>
        <v>NÚM. DE PERSONAS</v>
      </c>
      <c r="F15" s="5" t="str">
        <f ca="1">SIN1PERIODO!D3</f>
        <v>ASCENDENTE</v>
      </c>
      <c r="G15" s="5" t="str">
        <f ca="1">SIN1PERIODO!E3</f>
        <v>PROGRAMA OPERATIVO ANUAL</v>
      </c>
      <c r="H15" s="5">
        <f ca="1">SIN1PERIODO!F3</f>
        <v>6.4102564102564097</v>
      </c>
      <c r="I15" s="5">
        <f ca="1">SIN1PERIODO!G3</f>
        <v>0</v>
      </c>
      <c r="J15" s="5">
        <f ca="1">SIN1PERIODO!H3</f>
        <v>0</v>
      </c>
      <c r="K15" s="5">
        <f ca="1">SIN1PERIODO!I3</f>
        <v>0</v>
      </c>
      <c r="L15" s="5">
        <f ca="1">SIN1PERIODO!J3</f>
        <v>50</v>
      </c>
      <c r="M15" s="5">
        <f ca="1">SIN1PERIODO!K3</f>
        <v>0</v>
      </c>
      <c r="N15" s="5">
        <f ca="1">SIN1PERIODO!L3</f>
        <v>0</v>
      </c>
      <c r="O15" s="5">
        <f ca="1">SIN1PERIODO!M3</f>
        <v>0</v>
      </c>
      <c r="P15" s="5">
        <f ca="1">SIN1PERIODO!N3</f>
        <v>0</v>
      </c>
      <c r="Q15" s="5">
        <f ca="1">SIN1PERIODO!O3</f>
        <v>0</v>
      </c>
      <c r="R15" s="5">
        <f ca="1">SIN1PERIODO!P3</f>
        <v>0</v>
      </c>
      <c r="S15" s="5">
        <f ca="1">SIN1PERIODO!Q3</f>
        <v>0</v>
      </c>
      <c r="T15" s="5">
        <f ca="1">SIN1PERIODO!R3</f>
        <v>0</v>
      </c>
      <c r="U15" s="5">
        <f ca="1">SIN1PERIODO!S3</f>
        <v>50</v>
      </c>
    </row>
    <row r="16" spans="1:21" ht="39.75" customHeight="1">
      <c r="A16" s="30"/>
      <c r="B16" s="8" t="s">
        <v>41</v>
      </c>
      <c r="C16" s="7" t="s">
        <v>42</v>
      </c>
      <c r="D16" s="5">
        <f ca="1">SIN1PERIODO!B4</f>
        <v>120</v>
      </c>
      <c r="E16" s="5" t="str">
        <f ca="1">SIN1PERIODO!C4</f>
        <v>JUICIOS ATENDIDOS</v>
      </c>
      <c r="F16" s="5" t="str">
        <f ca="1">SIN1PERIODO!D4</f>
        <v>ASCENDENTE</v>
      </c>
      <c r="G16" s="5" t="str">
        <f ca="1">SIN1PERIODO!E4</f>
        <v>BITACORA OPERATIVA</v>
      </c>
      <c r="H16" s="5">
        <f ca="1">SIN1PERIODO!F4</f>
        <v>0</v>
      </c>
      <c r="I16" s="5">
        <f ca="1">SIN1PERIODO!G4</f>
        <v>0</v>
      </c>
      <c r="J16" s="5">
        <f ca="1">SIN1PERIODO!H4</f>
        <v>0</v>
      </c>
      <c r="K16" s="5">
        <f ca="1">SIN1PERIODO!I4</f>
        <v>0</v>
      </c>
      <c r="L16" s="5">
        <f ca="1">SIN1PERIODO!J4</f>
        <v>0</v>
      </c>
      <c r="M16" s="5">
        <f ca="1">SIN1PERIODO!K4</f>
        <v>0</v>
      </c>
      <c r="N16" s="5">
        <f ca="1">SIN1PERIODO!L4</f>
        <v>0</v>
      </c>
      <c r="O16" s="5">
        <f ca="1">SIN1PERIODO!M4</f>
        <v>0</v>
      </c>
      <c r="P16" s="5">
        <f ca="1">SIN1PERIODO!N4</f>
        <v>0</v>
      </c>
      <c r="Q16" s="5">
        <f ca="1">SIN1PERIODO!O4</f>
        <v>0</v>
      </c>
      <c r="R16" s="5">
        <f ca="1">SIN1PERIODO!P4</f>
        <v>0</v>
      </c>
      <c r="S16" s="5">
        <f ca="1">SIN1PERIODO!Q4</f>
        <v>0</v>
      </c>
      <c r="T16" s="5">
        <f ca="1">SIN1PERIODO!R4</f>
        <v>0</v>
      </c>
      <c r="U16" s="5">
        <f ca="1">SIN1PERIODO!S4</f>
        <v>0</v>
      </c>
    </row>
    <row r="17" spans="1:21" ht="39.75" customHeight="1">
      <c r="A17" s="30"/>
      <c r="B17" s="34" t="s">
        <v>43</v>
      </c>
      <c r="C17" s="7" t="s">
        <v>44</v>
      </c>
      <c r="D17" s="5">
        <f ca="1">SIN1PERIODO!B5</f>
        <v>300</v>
      </c>
      <c r="E17" s="5" t="str">
        <f ca="1">SIN1PERIODO!C5</f>
        <v xml:space="preserve">ASESORIAS </v>
      </c>
      <c r="F17" s="5" t="str">
        <f ca="1">SIN1PERIODO!D5</f>
        <v>ASCENDENTE</v>
      </c>
      <c r="G17" s="5" t="str">
        <f ca="1">SIN1PERIODO!E5</f>
        <v>BITACORA OPERATIVA</v>
      </c>
      <c r="H17" s="5">
        <f ca="1">SIN1PERIODO!F5</f>
        <v>0</v>
      </c>
      <c r="I17" s="5">
        <f ca="1">SIN1PERIODO!G5</f>
        <v>0</v>
      </c>
      <c r="J17" s="5">
        <f ca="1">SIN1PERIODO!H5</f>
        <v>0</v>
      </c>
      <c r="K17" s="5">
        <f ca="1">SIN1PERIODO!I5</f>
        <v>0</v>
      </c>
      <c r="L17" s="5">
        <f ca="1">SIN1PERIODO!J5</f>
        <v>0</v>
      </c>
      <c r="M17" s="5">
        <f ca="1">SIN1PERIODO!K5</f>
        <v>0</v>
      </c>
      <c r="N17" s="5">
        <f ca="1">SIN1PERIODO!L5</f>
        <v>0</v>
      </c>
      <c r="O17" s="5">
        <f ca="1">SIN1PERIODO!M5</f>
        <v>0</v>
      </c>
      <c r="P17" s="5">
        <f ca="1">SIN1PERIODO!N5</f>
        <v>0</v>
      </c>
      <c r="Q17" s="5">
        <f ca="1">SIN1PERIODO!O5</f>
        <v>0</v>
      </c>
      <c r="R17" s="5">
        <f ca="1">SIN1PERIODO!P5</f>
        <v>0</v>
      </c>
      <c r="S17" s="5">
        <f ca="1">SIN1PERIODO!Q5</f>
        <v>0</v>
      </c>
      <c r="T17" s="5">
        <f ca="1">SIN1PERIODO!R5</f>
        <v>0</v>
      </c>
      <c r="U17" s="5">
        <f ca="1">SIN1PERIODO!S5</f>
        <v>0</v>
      </c>
    </row>
    <row r="18" spans="1:21" ht="39.75" customHeight="1">
      <c r="A18" s="30"/>
      <c r="B18" s="31"/>
      <c r="C18" s="7" t="s">
        <v>45</v>
      </c>
      <c r="D18" s="5">
        <f ca="1">SIN1PERIODO!B6</f>
        <v>50</v>
      </c>
      <c r="E18" s="5" t="str">
        <f ca="1">SIN1PERIODO!C6</f>
        <v>NÚM. DE PERSONAS</v>
      </c>
      <c r="F18" s="5" t="str">
        <f ca="1">SIN1PERIODO!D6</f>
        <v>ASCENDENTE</v>
      </c>
      <c r="G18" s="5" t="str">
        <f ca="1">SIN1PERIODO!E6</f>
        <v>BITACORA OPERATIVA</v>
      </c>
      <c r="H18" s="5">
        <f ca="1">SIN1PERIODO!F6</f>
        <v>0</v>
      </c>
      <c r="I18" s="5">
        <f ca="1">SIN1PERIODO!G6</f>
        <v>0</v>
      </c>
      <c r="J18" s="5">
        <f ca="1">SIN1PERIODO!H6</f>
        <v>0</v>
      </c>
      <c r="K18" s="5">
        <f ca="1">SIN1PERIODO!I6</f>
        <v>0</v>
      </c>
      <c r="L18" s="5">
        <f ca="1">SIN1PERIODO!J6</f>
        <v>0</v>
      </c>
      <c r="M18" s="5">
        <f ca="1">SIN1PERIODO!K6</f>
        <v>0</v>
      </c>
      <c r="N18" s="5">
        <f ca="1">SIN1PERIODO!L6</f>
        <v>0</v>
      </c>
      <c r="O18" s="5">
        <f ca="1">SIN1PERIODO!M6</f>
        <v>0</v>
      </c>
      <c r="P18" s="5">
        <f ca="1">SIN1PERIODO!N6</f>
        <v>0</v>
      </c>
      <c r="Q18" s="5">
        <f ca="1">SIN1PERIODO!O6</f>
        <v>0</v>
      </c>
      <c r="R18" s="5">
        <f ca="1">SIN1PERIODO!P6</f>
        <v>0</v>
      </c>
      <c r="S18" s="5">
        <f ca="1">SIN1PERIODO!Q6</f>
        <v>0</v>
      </c>
      <c r="T18" s="5">
        <f ca="1">SIN1PERIODO!R6</f>
        <v>0</v>
      </c>
      <c r="U18" s="5">
        <f ca="1">SIN1PERIODO!S6</f>
        <v>0</v>
      </c>
    </row>
    <row r="19" spans="1:21" ht="39.75" customHeight="1">
      <c r="A19" s="30"/>
      <c r="B19" s="34" t="s">
        <v>46</v>
      </c>
      <c r="C19" s="7" t="s">
        <v>47</v>
      </c>
      <c r="D19" s="5">
        <f ca="1">SIN1PERIODO!B7</f>
        <v>35</v>
      </c>
      <c r="E19" s="5" t="str">
        <f ca="1">SIN1PERIODO!C7</f>
        <v>AUTOS</v>
      </c>
      <c r="F19" s="5" t="str">
        <f ca="1">SIN1PERIODO!D7</f>
        <v>ASCENDENTE</v>
      </c>
      <c r="G19" s="5" t="str">
        <f ca="1">SIN1PERIODO!E7</f>
        <v>BITACORA OPERATIVA</v>
      </c>
      <c r="H19" s="5">
        <f ca="1">SIN1PERIODO!F7</f>
        <v>8.5714285714285694</v>
      </c>
      <c r="I19" s="5">
        <f ca="1">SIN1PERIODO!G7</f>
        <v>0</v>
      </c>
      <c r="J19" s="5">
        <f ca="1">SIN1PERIODO!H7</f>
        <v>0</v>
      </c>
      <c r="K19" s="5">
        <f ca="1">SIN1PERIODO!I7</f>
        <v>0</v>
      </c>
      <c r="L19" s="5">
        <f ca="1">SIN1PERIODO!J7</f>
        <v>3</v>
      </c>
      <c r="M19" s="5">
        <f ca="1">SIN1PERIODO!K7</f>
        <v>0</v>
      </c>
      <c r="N19" s="5">
        <f ca="1">SIN1PERIODO!L7</f>
        <v>0</v>
      </c>
      <c r="O19" s="5">
        <f ca="1">SIN1PERIODO!M7</f>
        <v>0</v>
      </c>
      <c r="P19" s="5">
        <f ca="1">SIN1PERIODO!N7</f>
        <v>0</v>
      </c>
      <c r="Q19" s="5">
        <f ca="1">SIN1PERIODO!O7</f>
        <v>0</v>
      </c>
      <c r="R19" s="5">
        <f ca="1">SIN1PERIODO!P7</f>
        <v>0</v>
      </c>
      <c r="S19" s="5">
        <f ca="1">SIN1PERIODO!Q7</f>
        <v>0</v>
      </c>
      <c r="T19" s="5">
        <f ca="1">SIN1PERIODO!R7</f>
        <v>0</v>
      </c>
      <c r="U19" s="5">
        <f ca="1">SIN1PERIODO!S7</f>
        <v>3</v>
      </c>
    </row>
    <row r="20" spans="1:21" ht="39.75" customHeight="1">
      <c r="A20" s="30"/>
      <c r="B20" s="30"/>
      <c r="C20" s="7" t="s">
        <v>48</v>
      </c>
      <c r="D20" s="5">
        <f ca="1">SIN1PERIODO!B8</f>
        <v>40</v>
      </c>
      <c r="E20" s="5" t="str">
        <f ca="1">SIN1PERIODO!C8</f>
        <v>MOTOCICLETAS</v>
      </c>
      <c r="F20" s="5" t="str">
        <f ca="1">SIN1PERIODO!D8</f>
        <v>ASCENDENTE</v>
      </c>
      <c r="G20" s="5" t="str">
        <f ca="1">SIN1PERIODO!E8</f>
        <v>BITACORA OPERATIVA</v>
      </c>
      <c r="H20" s="5">
        <f ca="1">SIN1PERIODO!F8</f>
        <v>12.5</v>
      </c>
      <c r="I20" s="5">
        <f ca="1">SIN1PERIODO!G8</f>
        <v>0</v>
      </c>
      <c r="J20" s="5">
        <f ca="1">SIN1PERIODO!H8</f>
        <v>0</v>
      </c>
      <c r="K20" s="5">
        <f ca="1">SIN1PERIODO!I8</f>
        <v>0</v>
      </c>
      <c r="L20" s="5">
        <f ca="1">SIN1PERIODO!J8</f>
        <v>5</v>
      </c>
      <c r="M20" s="5">
        <f ca="1">SIN1PERIODO!K8</f>
        <v>0</v>
      </c>
      <c r="N20" s="5">
        <f ca="1">SIN1PERIODO!L8</f>
        <v>0</v>
      </c>
      <c r="O20" s="5">
        <f ca="1">SIN1PERIODO!M8</f>
        <v>0</v>
      </c>
      <c r="P20" s="5">
        <f ca="1">SIN1PERIODO!N8</f>
        <v>0</v>
      </c>
      <c r="Q20" s="5">
        <f ca="1">SIN1PERIODO!O8</f>
        <v>0</v>
      </c>
      <c r="R20" s="5">
        <f ca="1">SIN1PERIODO!P8</f>
        <v>0</v>
      </c>
      <c r="S20" s="5">
        <f ca="1">SIN1PERIODO!Q8</f>
        <v>0</v>
      </c>
      <c r="T20" s="5">
        <f ca="1">SIN1PERIODO!R8</f>
        <v>0</v>
      </c>
      <c r="U20" s="5">
        <f ca="1">SIN1PERIODO!S8</f>
        <v>5</v>
      </c>
    </row>
    <row r="21" spans="1:21" ht="39.75" customHeight="1">
      <c r="A21" s="31"/>
      <c r="B21" s="31"/>
      <c r="C21" s="7" t="s">
        <v>49</v>
      </c>
      <c r="D21" s="5">
        <f ca="1">SIN1PERIODO!B9</f>
        <v>120</v>
      </c>
      <c r="E21" s="5" t="str">
        <f ca="1">SIN1PERIODO!C9</f>
        <v>NÚM. DE PERSONAS</v>
      </c>
      <c r="F21" s="5" t="str">
        <f ca="1">SIN1PERIODO!D9</f>
        <v>DESCENDENTE</v>
      </c>
      <c r="G21" s="5" t="str">
        <f ca="1">SIN1PERIODO!E9</f>
        <v>BITACORA OPERATIVA</v>
      </c>
      <c r="H21" s="5">
        <f ca="1">SIN1PERIODO!F9</f>
        <v>4.1666666666666599</v>
      </c>
      <c r="I21" s="5">
        <f ca="1">SIN1PERIODO!G9</f>
        <v>0</v>
      </c>
      <c r="J21" s="5">
        <f ca="1">SIN1PERIODO!H9</f>
        <v>0</v>
      </c>
      <c r="K21" s="5">
        <f ca="1">SIN1PERIODO!I9</f>
        <v>0</v>
      </c>
      <c r="L21" s="5">
        <f ca="1">SIN1PERIODO!J9</f>
        <v>5</v>
      </c>
      <c r="M21" s="5">
        <f ca="1">SIN1PERIODO!K9</f>
        <v>0</v>
      </c>
      <c r="N21" s="5">
        <f ca="1">SIN1PERIODO!L9</f>
        <v>0</v>
      </c>
      <c r="O21" s="5">
        <f ca="1">SIN1PERIODO!M9</f>
        <v>0</v>
      </c>
      <c r="P21" s="5">
        <f ca="1">SIN1PERIODO!N9</f>
        <v>0</v>
      </c>
      <c r="Q21" s="5">
        <f ca="1">SIN1PERIODO!O9</f>
        <v>0</v>
      </c>
      <c r="R21" s="5">
        <f ca="1">SIN1PERIODO!P9</f>
        <v>0</v>
      </c>
      <c r="S21" s="5">
        <f ca="1">SIN1PERIODO!Q9</f>
        <v>0</v>
      </c>
      <c r="T21" s="5">
        <f ca="1">SIN1PERIODO!R9</f>
        <v>0</v>
      </c>
      <c r="U21" s="5">
        <f ca="1">SIN1PERIODO!S9</f>
        <v>5</v>
      </c>
    </row>
    <row r="22" spans="1:21" ht="39.75" customHeight="1">
      <c r="A22" s="32" t="s">
        <v>50</v>
      </c>
      <c r="B22" s="29" t="s">
        <v>50</v>
      </c>
      <c r="C22" s="4" t="s">
        <v>51</v>
      </c>
      <c r="D22" s="5">
        <f ca="1">SECGEN1PERIODO!B2</f>
        <v>15</v>
      </c>
      <c r="E22" s="5" t="str">
        <f ca="1">SECGEN1PERIODO!C2</f>
        <v>SESIONES</v>
      </c>
      <c r="F22" s="5" t="str">
        <f ca="1">SECGEN1PERIODO!D2</f>
        <v>ASCENDENTE</v>
      </c>
      <c r="G22" s="5" t="str">
        <f ca="1">SECGEN1PERIODO!E2</f>
        <v>SESIONES PUBLICAS</v>
      </c>
      <c r="H22" s="5">
        <f ca="1">SECGEN1PERIODO!F2</f>
        <v>0</v>
      </c>
      <c r="I22" s="5">
        <f ca="1">SECGEN1PERIODO!G2</f>
        <v>0</v>
      </c>
      <c r="J22" s="5">
        <f ca="1">SECGEN1PERIODO!H2</f>
        <v>0</v>
      </c>
      <c r="K22" s="5">
        <f ca="1">SECGEN1PERIODO!I2</f>
        <v>0</v>
      </c>
      <c r="L22" s="5">
        <f ca="1">SECGEN1PERIODO!J2</f>
        <v>0</v>
      </c>
      <c r="M22" s="5">
        <f ca="1">SECGEN1PERIODO!K2</f>
        <v>0</v>
      </c>
      <c r="N22" s="5">
        <f ca="1">SECGEN1PERIODO!L2</f>
        <v>0</v>
      </c>
      <c r="O22" s="5">
        <f ca="1">SECGEN1PERIODO!M2</f>
        <v>0</v>
      </c>
      <c r="P22" s="5">
        <f ca="1">SECGEN1PERIODO!N2</f>
        <v>0</v>
      </c>
      <c r="Q22" s="5">
        <f ca="1">SECGEN1PERIODO!O2</f>
        <v>0</v>
      </c>
      <c r="R22" s="5">
        <f ca="1">SECGEN1PERIODO!P2</f>
        <v>0</v>
      </c>
      <c r="S22" s="5">
        <f ca="1">SECGEN1PERIODO!Q2</f>
        <v>0</v>
      </c>
      <c r="T22" s="5">
        <f ca="1">SECGEN1PERIODO!R2</f>
        <v>0</v>
      </c>
      <c r="U22" s="5">
        <f ca="1">SECGEN1PERIODO!S2</f>
        <v>0</v>
      </c>
    </row>
    <row r="23" spans="1:21" ht="39.75" customHeight="1">
      <c r="A23" s="30"/>
      <c r="B23" s="30"/>
      <c r="C23" s="4" t="s">
        <v>52</v>
      </c>
      <c r="D23" s="5">
        <f ca="1">SECGEN1PERIODO!B3</f>
        <v>1200</v>
      </c>
      <c r="E23" s="5" t="str">
        <f ca="1">SECGEN1PERIODO!C3</f>
        <v>CONSTANCIAS</v>
      </c>
      <c r="F23" s="5" t="str">
        <f ca="1">SECGEN1PERIODO!D3</f>
        <v>ASCENDENTE</v>
      </c>
      <c r="G23" s="5" t="str">
        <f ca="1">SECGEN1PERIODO!E3</f>
        <v>BITACORA DE ATENCION</v>
      </c>
      <c r="H23" s="5">
        <f ca="1">SECGEN1PERIODO!F3</f>
        <v>0</v>
      </c>
      <c r="I23" s="5">
        <f ca="1">SECGEN1PERIODO!G3</f>
        <v>0</v>
      </c>
      <c r="J23" s="5">
        <f ca="1">SECGEN1PERIODO!H3</f>
        <v>0</v>
      </c>
      <c r="K23" s="5">
        <f ca="1">SECGEN1PERIODO!I3</f>
        <v>0</v>
      </c>
      <c r="L23" s="5">
        <f ca="1">SECGEN1PERIODO!J3</f>
        <v>0</v>
      </c>
      <c r="M23" s="5">
        <f ca="1">SECGEN1PERIODO!K3</f>
        <v>0</v>
      </c>
      <c r="N23" s="5">
        <f ca="1">SECGEN1PERIODO!L3</f>
        <v>0</v>
      </c>
      <c r="O23" s="5">
        <f ca="1">SECGEN1PERIODO!M3</f>
        <v>0</v>
      </c>
      <c r="P23" s="5">
        <f ca="1">SECGEN1PERIODO!N3</f>
        <v>0</v>
      </c>
      <c r="Q23" s="5">
        <f ca="1">SECGEN1PERIODO!O3</f>
        <v>0</v>
      </c>
      <c r="R23" s="5">
        <f ca="1">SECGEN1PERIODO!P3</f>
        <v>0</v>
      </c>
      <c r="S23" s="5">
        <f ca="1">SECGEN1PERIODO!Q3</f>
        <v>0</v>
      </c>
      <c r="T23" s="5">
        <f ca="1">SECGEN1PERIODO!R3</f>
        <v>0</v>
      </c>
      <c r="U23" s="5">
        <f ca="1">SECGEN1PERIODO!S3</f>
        <v>0</v>
      </c>
    </row>
    <row r="24" spans="1:21" ht="39.75" customHeight="1">
      <c r="A24" s="30"/>
      <c r="B24" s="31"/>
      <c r="C24" s="4" t="s">
        <v>53</v>
      </c>
      <c r="D24" s="5">
        <f ca="1">SECGEN1PERIODO!B4</f>
        <v>80</v>
      </c>
      <c r="E24" s="5" t="str">
        <f ca="1">SECGEN1PERIODO!C4</f>
        <v xml:space="preserve">PRECARTILLAS </v>
      </c>
      <c r="F24" s="5" t="str">
        <f ca="1">SECGEN1PERIODO!D4</f>
        <v>ASCENDENTE</v>
      </c>
      <c r="G24" s="5" t="str">
        <f ca="1">SECGEN1PERIODO!E4</f>
        <v>BITACORA DE ATENCION</v>
      </c>
      <c r="H24" s="5">
        <f ca="1">SECGEN1PERIODO!F4</f>
        <v>0</v>
      </c>
      <c r="I24" s="5">
        <f ca="1">SECGEN1PERIODO!G4</f>
        <v>0</v>
      </c>
      <c r="J24" s="5">
        <f ca="1">SECGEN1PERIODO!H4</f>
        <v>0</v>
      </c>
      <c r="K24" s="5">
        <f ca="1">SECGEN1PERIODO!I4</f>
        <v>0</v>
      </c>
      <c r="L24" s="5">
        <f ca="1">SECGEN1PERIODO!J4</f>
        <v>0</v>
      </c>
      <c r="M24" s="5">
        <f ca="1">SECGEN1PERIODO!K4</f>
        <v>0</v>
      </c>
      <c r="N24" s="5">
        <f ca="1">SECGEN1PERIODO!L4</f>
        <v>0</v>
      </c>
      <c r="O24" s="5">
        <f ca="1">SECGEN1PERIODO!M4</f>
        <v>0</v>
      </c>
      <c r="P24" s="5">
        <f ca="1">SECGEN1PERIODO!N4</f>
        <v>0</v>
      </c>
      <c r="Q24" s="5">
        <f ca="1">SECGEN1PERIODO!O4</f>
        <v>0</v>
      </c>
      <c r="R24" s="5">
        <f ca="1">SECGEN1PERIODO!P4</f>
        <v>0</v>
      </c>
      <c r="S24" s="5">
        <f ca="1">SECGEN1PERIODO!Q4</f>
        <v>0</v>
      </c>
      <c r="T24" s="5">
        <f ca="1">SECGEN1PERIODO!R4</f>
        <v>0</v>
      </c>
      <c r="U24" s="5">
        <f ca="1">SECGEN1PERIODO!S4</f>
        <v>0</v>
      </c>
    </row>
    <row r="25" spans="1:21" ht="39.75" customHeight="1">
      <c r="A25" s="30"/>
      <c r="B25" s="29" t="s">
        <v>54</v>
      </c>
      <c r="C25" s="4" t="s">
        <v>55</v>
      </c>
      <c r="D25" s="5">
        <f ca="1">SECGEN1PERIODO!B5</f>
        <v>15</v>
      </c>
      <c r="E25" s="5" t="str">
        <f ca="1">SECGEN1PERIODO!C5</f>
        <v>TITULOS</v>
      </c>
      <c r="F25" s="5" t="str">
        <f ca="1">SECGEN1PERIODO!D5</f>
        <v>ASCENDENTE</v>
      </c>
      <c r="G25" s="5" t="str">
        <f ca="1">SECGEN1PERIODO!E5</f>
        <v>BITACORA OPERATIVA</v>
      </c>
      <c r="H25" s="5">
        <f ca="1">SECGEN1PERIODO!F5</f>
        <v>0</v>
      </c>
      <c r="I25" s="5">
        <f ca="1">SECGEN1PERIODO!G5</f>
        <v>0</v>
      </c>
      <c r="J25" s="5">
        <f ca="1">SECGEN1PERIODO!H5</f>
        <v>0</v>
      </c>
      <c r="K25" s="5">
        <f ca="1">SECGEN1PERIODO!I5</f>
        <v>0</v>
      </c>
      <c r="L25" s="5">
        <f ca="1">SECGEN1PERIODO!J5</f>
        <v>0</v>
      </c>
      <c r="M25" s="5">
        <f ca="1">SECGEN1PERIODO!K5</f>
        <v>0</v>
      </c>
      <c r="N25" s="5">
        <f ca="1">SECGEN1PERIODO!L5</f>
        <v>0</v>
      </c>
      <c r="O25" s="5">
        <f ca="1">SECGEN1PERIODO!M5</f>
        <v>0</v>
      </c>
      <c r="P25" s="5">
        <f ca="1">SECGEN1PERIODO!N5</f>
        <v>0</v>
      </c>
      <c r="Q25" s="5">
        <f ca="1">SECGEN1PERIODO!O5</f>
        <v>0</v>
      </c>
      <c r="R25" s="5">
        <f ca="1">SECGEN1PERIODO!P5</f>
        <v>0</v>
      </c>
      <c r="S25" s="5">
        <f ca="1">SECGEN1PERIODO!Q5</f>
        <v>0</v>
      </c>
      <c r="T25" s="5">
        <f ca="1">SECGEN1PERIODO!R5</f>
        <v>0</v>
      </c>
      <c r="U25" s="5">
        <f ca="1">SECGEN1PERIODO!S5</f>
        <v>0</v>
      </c>
    </row>
    <row r="26" spans="1:21" ht="39.75" customHeight="1">
      <c r="A26" s="30"/>
      <c r="B26" s="30"/>
      <c r="C26" s="4" t="s">
        <v>56</v>
      </c>
      <c r="D26" s="5">
        <f ca="1">SECGEN1PERIODO!B6</f>
        <v>30</v>
      </c>
      <c r="E26" s="5" t="str">
        <f ca="1">SECGEN1PERIODO!C6</f>
        <v>EXHUMACIONES</v>
      </c>
      <c r="F26" s="5" t="str">
        <f ca="1">SECGEN1PERIODO!D6</f>
        <v>ASCENDENTE</v>
      </c>
      <c r="G26" s="5" t="str">
        <f ca="1">SECGEN1PERIODO!E6</f>
        <v>BITACORA OPERATIVA</v>
      </c>
      <c r="H26" s="5">
        <f ca="1">SECGEN1PERIODO!F6</f>
        <v>0</v>
      </c>
      <c r="I26" s="5">
        <f ca="1">SECGEN1PERIODO!G6</f>
        <v>0</v>
      </c>
      <c r="J26" s="5">
        <f ca="1">SECGEN1PERIODO!H6</f>
        <v>0</v>
      </c>
      <c r="K26" s="5">
        <f ca="1">SECGEN1PERIODO!I6</f>
        <v>0</v>
      </c>
      <c r="L26" s="5">
        <f ca="1">SECGEN1PERIODO!J6</f>
        <v>0</v>
      </c>
      <c r="M26" s="5">
        <f ca="1">SECGEN1PERIODO!K6</f>
        <v>0</v>
      </c>
      <c r="N26" s="5">
        <f ca="1">SECGEN1PERIODO!L6</f>
        <v>0</v>
      </c>
      <c r="O26" s="5">
        <f ca="1">SECGEN1PERIODO!M6</f>
        <v>0</v>
      </c>
      <c r="P26" s="5">
        <f ca="1">SECGEN1PERIODO!N6</f>
        <v>0</v>
      </c>
      <c r="Q26" s="5">
        <f ca="1">SECGEN1PERIODO!O6</f>
        <v>0</v>
      </c>
      <c r="R26" s="5">
        <f ca="1">SECGEN1PERIODO!P6</f>
        <v>0</v>
      </c>
      <c r="S26" s="5">
        <f ca="1">SECGEN1PERIODO!Q6</f>
        <v>0</v>
      </c>
      <c r="T26" s="5">
        <f ca="1">SECGEN1PERIODO!R6</f>
        <v>0</v>
      </c>
      <c r="U26" s="5">
        <f ca="1">SECGEN1PERIODO!S6</f>
        <v>0</v>
      </c>
    </row>
    <row r="27" spans="1:21" ht="39.75" customHeight="1">
      <c r="A27" s="30"/>
      <c r="B27" s="30"/>
      <c r="C27" s="4" t="s">
        <v>57</v>
      </c>
      <c r="D27" s="5">
        <f ca="1">SECGEN1PERIODO!B7</f>
        <v>12</v>
      </c>
      <c r="E27" s="5" t="str">
        <f ca="1">SECGEN1PERIODO!C7</f>
        <v>CAMBIOS</v>
      </c>
      <c r="F27" s="5" t="str">
        <f ca="1">SECGEN1PERIODO!D7</f>
        <v>ASCENDENTE</v>
      </c>
      <c r="G27" s="5" t="str">
        <f ca="1">SECGEN1PERIODO!E7</f>
        <v>BITACORA OPERATIVA</v>
      </c>
      <c r="H27" s="5">
        <f ca="1">SECGEN1PERIODO!F7</f>
        <v>0</v>
      </c>
      <c r="I27" s="5">
        <f ca="1">SECGEN1PERIODO!G7</f>
        <v>0</v>
      </c>
      <c r="J27" s="5">
        <f ca="1">SECGEN1PERIODO!H7</f>
        <v>0</v>
      </c>
      <c r="K27" s="5">
        <f ca="1">SECGEN1PERIODO!I7</f>
        <v>0</v>
      </c>
      <c r="L27" s="5">
        <f ca="1">SECGEN1PERIODO!J7</f>
        <v>0</v>
      </c>
      <c r="M27" s="5">
        <f ca="1">SECGEN1PERIODO!K7</f>
        <v>0</v>
      </c>
      <c r="N27" s="5">
        <f ca="1">SECGEN1PERIODO!L7</f>
        <v>0</v>
      </c>
      <c r="O27" s="5">
        <f ca="1">SECGEN1PERIODO!M7</f>
        <v>0</v>
      </c>
      <c r="P27" s="5">
        <f ca="1">SECGEN1PERIODO!N7</f>
        <v>0</v>
      </c>
      <c r="Q27" s="5">
        <f ca="1">SECGEN1PERIODO!O7</f>
        <v>0</v>
      </c>
      <c r="R27" s="5">
        <f ca="1">SECGEN1PERIODO!P7</f>
        <v>0</v>
      </c>
      <c r="S27" s="5">
        <f ca="1">SECGEN1PERIODO!Q7</f>
        <v>0</v>
      </c>
      <c r="T27" s="5">
        <f ca="1">SECGEN1PERIODO!R7</f>
        <v>0</v>
      </c>
      <c r="U27" s="5">
        <f ca="1">SECGEN1PERIODO!S7</f>
        <v>0</v>
      </c>
    </row>
    <row r="28" spans="1:21" ht="39.75" customHeight="1">
      <c r="A28" s="30"/>
      <c r="B28" s="30"/>
      <c r="C28" s="4" t="s">
        <v>58</v>
      </c>
      <c r="D28" s="5">
        <f ca="1">SECGEN1PERIODO!B8</f>
        <v>520</v>
      </c>
      <c r="E28" s="5" t="str">
        <f ca="1">SECGEN1PERIODO!C8</f>
        <v>MANTENIMIENTOS</v>
      </c>
      <c r="F28" s="5" t="str">
        <f ca="1">SECGEN1PERIODO!D8</f>
        <v>ASCENDENTE</v>
      </c>
      <c r="G28" s="5" t="str">
        <f ca="1">SECGEN1PERIODO!E8</f>
        <v>BITACORA OPERATIVA</v>
      </c>
      <c r="H28" s="5">
        <f ca="1">SECGEN1PERIODO!F8</f>
        <v>0</v>
      </c>
      <c r="I28" s="5">
        <f ca="1">SECGEN1PERIODO!G8</f>
        <v>0</v>
      </c>
      <c r="J28" s="5">
        <f ca="1">SECGEN1PERIODO!H8</f>
        <v>0</v>
      </c>
      <c r="K28" s="5">
        <f ca="1">SECGEN1PERIODO!I8</f>
        <v>0</v>
      </c>
      <c r="L28" s="5">
        <f ca="1">SECGEN1PERIODO!J8</f>
        <v>0</v>
      </c>
      <c r="M28" s="5">
        <f ca="1">SECGEN1PERIODO!K8</f>
        <v>0</v>
      </c>
      <c r="N28" s="5">
        <f ca="1">SECGEN1PERIODO!L8</f>
        <v>0</v>
      </c>
      <c r="O28" s="5">
        <f ca="1">SECGEN1PERIODO!M8</f>
        <v>0</v>
      </c>
      <c r="P28" s="5">
        <f ca="1">SECGEN1PERIODO!N8</f>
        <v>0</v>
      </c>
      <c r="Q28" s="5">
        <f ca="1">SECGEN1PERIODO!O8</f>
        <v>0</v>
      </c>
      <c r="R28" s="5">
        <f ca="1">SECGEN1PERIODO!P8</f>
        <v>0</v>
      </c>
      <c r="S28" s="5">
        <f ca="1">SECGEN1PERIODO!Q8</f>
        <v>0</v>
      </c>
      <c r="T28" s="5">
        <f ca="1">SECGEN1PERIODO!R8</f>
        <v>0</v>
      </c>
      <c r="U28" s="5">
        <f ca="1">SECGEN1PERIODO!S8</f>
        <v>0</v>
      </c>
    </row>
    <row r="29" spans="1:21" ht="39.75" customHeight="1">
      <c r="A29" s="30"/>
      <c r="B29" s="31"/>
      <c r="C29" s="4" t="s">
        <v>59</v>
      </c>
      <c r="D29" s="5">
        <f ca="1">SECGEN1PERIODO!B9</f>
        <v>500</v>
      </c>
      <c r="E29" s="5" t="str">
        <f ca="1">SECGEN1PERIODO!C9</f>
        <v>TRAMITES REALIZADOS</v>
      </c>
      <c r="F29" s="5" t="str">
        <f ca="1">SECGEN1PERIODO!D9</f>
        <v>ASCENDENTE</v>
      </c>
      <c r="G29" s="5" t="str">
        <f ca="1">SECGEN1PERIODO!E9</f>
        <v>BITACORA OPERATIVA</v>
      </c>
      <c r="H29" s="5">
        <f ca="1">SECGEN1PERIODO!F9</f>
        <v>0</v>
      </c>
      <c r="I29" s="5">
        <f ca="1">SECGEN1PERIODO!G9</f>
        <v>0</v>
      </c>
      <c r="J29" s="5">
        <f ca="1">SECGEN1PERIODO!H9</f>
        <v>0</v>
      </c>
      <c r="K29" s="5">
        <f ca="1">SECGEN1PERIODO!I9</f>
        <v>0</v>
      </c>
      <c r="L29" s="5">
        <f ca="1">SECGEN1PERIODO!J9</f>
        <v>0</v>
      </c>
      <c r="M29" s="5">
        <f ca="1">SECGEN1PERIODO!K9</f>
        <v>0</v>
      </c>
      <c r="N29" s="5">
        <f ca="1">SECGEN1PERIODO!L9</f>
        <v>0</v>
      </c>
      <c r="O29" s="5">
        <f ca="1">SECGEN1PERIODO!M9</f>
        <v>0</v>
      </c>
      <c r="P29" s="5">
        <f ca="1">SECGEN1PERIODO!N9</f>
        <v>0</v>
      </c>
      <c r="Q29" s="5">
        <f ca="1">SECGEN1PERIODO!O9</f>
        <v>0</v>
      </c>
      <c r="R29" s="5">
        <f ca="1">SECGEN1PERIODO!P9</f>
        <v>0</v>
      </c>
      <c r="S29" s="5">
        <f ca="1">SECGEN1PERIODO!Q9</f>
        <v>0</v>
      </c>
      <c r="T29" s="5">
        <f ca="1">SECGEN1PERIODO!R9</f>
        <v>0</v>
      </c>
      <c r="U29" s="5">
        <f ca="1">SECGEN1PERIODO!S9</f>
        <v>0</v>
      </c>
    </row>
    <row r="30" spans="1:21" ht="39.75" customHeight="1">
      <c r="A30" s="30"/>
      <c r="B30" s="29" t="s">
        <v>60</v>
      </c>
      <c r="C30" s="4" t="s">
        <v>61</v>
      </c>
      <c r="D30" s="5">
        <f ca="1">SECGEN1PERIODO!B10</f>
        <v>1100</v>
      </c>
      <c r="E30" s="5" t="str">
        <f ca="1">SECGEN1PERIODO!C10</f>
        <v>NACIMIENTOS</v>
      </c>
      <c r="F30" s="5" t="str">
        <f ca="1">SECGEN1PERIODO!D10</f>
        <v>ASCENDENTE</v>
      </c>
      <c r="G30" s="5" t="str">
        <f ca="1">SECGEN1PERIODO!E10</f>
        <v>BITACORA OPERATIVA</v>
      </c>
      <c r="H30" s="5">
        <f ca="1">SECGEN1PERIODO!F10</f>
        <v>0</v>
      </c>
      <c r="I30" s="5">
        <f ca="1">SECGEN1PERIODO!G10</f>
        <v>0</v>
      </c>
      <c r="J30" s="5">
        <f ca="1">SECGEN1PERIODO!H10</f>
        <v>0</v>
      </c>
      <c r="K30" s="5">
        <f ca="1">SECGEN1PERIODO!I10</f>
        <v>0</v>
      </c>
      <c r="L30" s="5">
        <f ca="1">SECGEN1PERIODO!J10</f>
        <v>0</v>
      </c>
      <c r="M30" s="5">
        <f ca="1">SECGEN1PERIODO!K10</f>
        <v>0</v>
      </c>
      <c r="N30" s="5">
        <f ca="1">SECGEN1PERIODO!L10</f>
        <v>0</v>
      </c>
      <c r="O30" s="5">
        <f ca="1">SECGEN1PERIODO!M10</f>
        <v>0</v>
      </c>
      <c r="P30" s="5">
        <f ca="1">SECGEN1PERIODO!N10</f>
        <v>0</v>
      </c>
      <c r="Q30" s="5">
        <f ca="1">SECGEN1PERIODO!O10</f>
        <v>0</v>
      </c>
      <c r="R30" s="5">
        <f ca="1">SECGEN1PERIODO!P10</f>
        <v>0</v>
      </c>
      <c r="S30" s="5">
        <f ca="1">SECGEN1PERIODO!Q10</f>
        <v>0</v>
      </c>
      <c r="T30" s="5">
        <f ca="1">SECGEN1PERIODO!R10</f>
        <v>0</v>
      </c>
      <c r="U30" s="5">
        <f ca="1">SECGEN1PERIODO!S10</f>
        <v>0</v>
      </c>
    </row>
    <row r="31" spans="1:21" ht="39.75" customHeight="1">
      <c r="A31" s="30"/>
      <c r="B31" s="30"/>
      <c r="C31" s="4" t="s">
        <v>62</v>
      </c>
      <c r="D31" s="5">
        <f ca="1">SECGEN1PERIODO!B11</f>
        <v>980</v>
      </c>
      <c r="E31" s="5" t="str">
        <f ca="1">SECGEN1PERIODO!C11</f>
        <v>DEFUNCIONES</v>
      </c>
      <c r="F31" s="5" t="str">
        <f ca="1">SECGEN1PERIODO!D11</f>
        <v>ASCENDENTE</v>
      </c>
      <c r="G31" s="5" t="str">
        <f ca="1">SECGEN1PERIODO!E11</f>
        <v>BITACORA OPERATIVA</v>
      </c>
      <c r="H31" s="5">
        <f ca="1">SECGEN1PERIODO!F11</f>
        <v>0</v>
      </c>
      <c r="I31" s="5">
        <f ca="1">SECGEN1PERIODO!G11</f>
        <v>0</v>
      </c>
      <c r="J31" s="5">
        <f ca="1">SECGEN1PERIODO!H11</f>
        <v>0</v>
      </c>
      <c r="K31" s="5">
        <f ca="1">SECGEN1PERIODO!I11</f>
        <v>0</v>
      </c>
      <c r="L31" s="5">
        <f ca="1">SECGEN1PERIODO!J11</f>
        <v>0</v>
      </c>
      <c r="M31" s="5">
        <f ca="1">SECGEN1PERIODO!K11</f>
        <v>0</v>
      </c>
      <c r="N31" s="5">
        <f ca="1">SECGEN1PERIODO!L11</f>
        <v>0</v>
      </c>
      <c r="O31" s="5">
        <f ca="1">SECGEN1PERIODO!M11</f>
        <v>0</v>
      </c>
      <c r="P31" s="5">
        <f ca="1">SECGEN1PERIODO!N11</f>
        <v>0</v>
      </c>
      <c r="Q31" s="5">
        <f ca="1">SECGEN1PERIODO!O11</f>
        <v>0</v>
      </c>
      <c r="R31" s="5">
        <f ca="1">SECGEN1PERIODO!P11</f>
        <v>0</v>
      </c>
      <c r="S31" s="5">
        <f ca="1">SECGEN1PERIODO!Q11</f>
        <v>0</v>
      </c>
      <c r="T31" s="5">
        <f ca="1">SECGEN1PERIODO!R11</f>
        <v>0</v>
      </c>
      <c r="U31" s="5">
        <f ca="1">SECGEN1PERIODO!S11</f>
        <v>0</v>
      </c>
    </row>
    <row r="32" spans="1:21" ht="39.75" customHeight="1">
      <c r="A32" s="30"/>
      <c r="B32" s="30"/>
      <c r="C32" s="4" t="s">
        <v>63</v>
      </c>
      <c r="D32" s="5">
        <f ca="1">SECGEN1PERIODO!B12</f>
        <v>70</v>
      </c>
      <c r="E32" s="5" t="str">
        <f ca="1">SECGEN1PERIODO!C12</f>
        <v>DIVORCIOS</v>
      </c>
      <c r="F32" s="5" t="str">
        <f ca="1">SECGEN1PERIODO!D12</f>
        <v>ASCENDENTE</v>
      </c>
      <c r="G32" s="5" t="str">
        <f ca="1">SECGEN1PERIODO!E12</f>
        <v>BITACORA OPERATIVA</v>
      </c>
      <c r="H32" s="5">
        <f ca="1">SECGEN1PERIODO!F12</f>
        <v>0</v>
      </c>
      <c r="I32" s="5">
        <f ca="1">SECGEN1PERIODO!G12</f>
        <v>0</v>
      </c>
      <c r="J32" s="5">
        <f ca="1">SECGEN1PERIODO!H12</f>
        <v>0</v>
      </c>
      <c r="K32" s="5">
        <f ca="1">SECGEN1PERIODO!I12</f>
        <v>0</v>
      </c>
      <c r="L32" s="5">
        <f ca="1">SECGEN1PERIODO!J12</f>
        <v>0</v>
      </c>
      <c r="M32" s="5">
        <f ca="1">SECGEN1PERIODO!K12</f>
        <v>0</v>
      </c>
      <c r="N32" s="5">
        <f ca="1">SECGEN1PERIODO!L12</f>
        <v>0</v>
      </c>
      <c r="O32" s="5">
        <f ca="1">SECGEN1PERIODO!M12</f>
        <v>0</v>
      </c>
      <c r="P32" s="5">
        <f ca="1">SECGEN1PERIODO!N12</f>
        <v>0</v>
      </c>
      <c r="Q32" s="5">
        <f ca="1">SECGEN1PERIODO!O12</f>
        <v>0</v>
      </c>
      <c r="R32" s="5">
        <f ca="1">SECGEN1PERIODO!P12</f>
        <v>0</v>
      </c>
      <c r="S32" s="5">
        <f ca="1">SECGEN1PERIODO!Q12</f>
        <v>0</v>
      </c>
      <c r="T32" s="5">
        <f ca="1">SECGEN1PERIODO!R12</f>
        <v>0</v>
      </c>
      <c r="U32" s="5">
        <f ca="1">SECGEN1PERIODO!S12</f>
        <v>0</v>
      </c>
    </row>
    <row r="33" spans="1:21" ht="39.75" customHeight="1">
      <c r="A33" s="30"/>
      <c r="B33" s="30"/>
      <c r="C33" s="4" t="s">
        <v>64</v>
      </c>
      <c r="D33" s="5">
        <f ca="1">SECGEN1PERIODO!B13</f>
        <v>80</v>
      </c>
      <c r="E33" s="5" t="str">
        <f ca="1">SECGEN1PERIODO!C13</f>
        <v>MATRIONIOS</v>
      </c>
      <c r="F33" s="5" t="str">
        <f ca="1">SECGEN1PERIODO!D13</f>
        <v>ASCENDENTE</v>
      </c>
      <c r="G33" s="5" t="str">
        <f ca="1">SECGEN1PERIODO!E13</f>
        <v>BITACORA OPERATIVA</v>
      </c>
      <c r="H33" s="5">
        <f ca="1">SECGEN1PERIODO!F13</f>
        <v>0</v>
      </c>
      <c r="I33" s="5">
        <f ca="1">SECGEN1PERIODO!G13</f>
        <v>0</v>
      </c>
      <c r="J33" s="5">
        <f ca="1">SECGEN1PERIODO!H13</f>
        <v>0</v>
      </c>
      <c r="K33" s="5">
        <f ca="1">SECGEN1PERIODO!I13</f>
        <v>0</v>
      </c>
      <c r="L33" s="5">
        <f ca="1">SECGEN1PERIODO!J13</f>
        <v>0</v>
      </c>
      <c r="M33" s="5">
        <f ca="1">SECGEN1PERIODO!K13</f>
        <v>0</v>
      </c>
      <c r="N33" s="5">
        <f ca="1">SECGEN1PERIODO!L13</f>
        <v>0</v>
      </c>
      <c r="O33" s="5">
        <f ca="1">SECGEN1PERIODO!M13</f>
        <v>0</v>
      </c>
      <c r="P33" s="5">
        <f ca="1">SECGEN1PERIODO!N13</f>
        <v>0</v>
      </c>
      <c r="Q33" s="5">
        <f ca="1">SECGEN1PERIODO!O13</f>
        <v>0</v>
      </c>
      <c r="R33" s="5">
        <f ca="1">SECGEN1PERIODO!P13</f>
        <v>0</v>
      </c>
      <c r="S33" s="5">
        <f ca="1">SECGEN1PERIODO!Q13</f>
        <v>0</v>
      </c>
      <c r="T33" s="5">
        <f ca="1">SECGEN1PERIODO!R13</f>
        <v>0</v>
      </c>
      <c r="U33" s="5">
        <f ca="1">SECGEN1PERIODO!S13</f>
        <v>0</v>
      </c>
    </row>
    <row r="34" spans="1:21" ht="39.75" customHeight="1">
      <c r="A34" s="30"/>
      <c r="B34" s="30"/>
      <c r="C34" s="4" t="s">
        <v>65</v>
      </c>
      <c r="D34" s="5">
        <f ca="1">SECGEN1PERIODO!B14</f>
        <v>30</v>
      </c>
      <c r="E34" s="5" t="str">
        <f ca="1">SECGEN1PERIODO!C14</f>
        <v>ACLARACIONES</v>
      </c>
      <c r="F34" s="5" t="str">
        <f ca="1">SECGEN1PERIODO!D14</f>
        <v>ASCENDENTE</v>
      </c>
      <c r="G34" s="5" t="str">
        <f ca="1">SECGEN1PERIODO!E14</f>
        <v>BITACORA OPERATIVA</v>
      </c>
      <c r="H34" s="5">
        <f ca="1">SECGEN1PERIODO!F14</f>
        <v>0</v>
      </c>
      <c r="I34" s="5">
        <f ca="1">SECGEN1PERIODO!G14</f>
        <v>0</v>
      </c>
      <c r="J34" s="5">
        <f ca="1">SECGEN1PERIODO!H14</f>
        <v>0</v>
      </c>
      <c r="K34" s="5">
        <f ca="1">SECGEN1PERIODO!I14</f>
        <v>0</v>
      </c>
      <c r="L34" s="5">
        <f ca="1">SECGEN1PERIODO!J14</f>
        <v>0</v>
      </c>
      <c r="M34" s="5">
        <f ca="1">SECGEN1PERIODO!K14</f>
        <v>0</v>
      </c>
      <c r="N34" s="5">
        <f ca="1">SECGEN1PERIODO!L14</f>
        <v>0</v>
      </c>
      <c r="O34" s="5">
        <f ca="1">SECGEN1PERIODO!M14</f>
        <v>0</v>
      </c>
      <c r="P34" s="5">
        <f ca="1">SECGEN1PERIODO!N14</f>
        <v>0</v>
      </c>
      <c r="Q34" s="5">
        <f ca="1">SECGEN1PERIODO!O14</f>
        <v>0</v>
      </c>
      <c r="R34" s="5">
        <f ca="1">SECGEN1PERIODO!P14</f>
        <v>0</v>
      </c>
      <c r="S34" s="5">
        <f ca="1">SECGEN1PERIODO!Q14</f>
        <v>0</v>
      </c>
      <c r="T34" s="5">
        <f ca="1">SECGEN1PERIODO!R14</f>
        <v>0</v>
      </c>
      <c r="U34" s="5">
        <f ca="1">SECGEN1PERIODO!S14</f>
        <v>0</v>
      </c>
    </row>
    <row r="35" spans="1:21" ht="39.75" customHeight="1">
      <c r="A35" s="30"/>
      <c r="B35" s="30"/>
      <c r="C35" s="4" t="s">
        <v>52</v>
      </c>
      <c r="D35" s="5">
        <f ca="1">SECGEN1PERIODO!B15</f>
        <v>400</v>
      </c>
      <c r="E35" s="5" t="str">
        <f ca="1">SECGEN1PERIODO!C15</f>
        <v>CONSTANCIAS</v>
      </c>
      <c r="F35" s="5" t="str">
        <f ca="1">SECGEN1PERIODO!D15</f>
        <v>ASCENDENTE</v>
      </c>
      <c r="G35" s="5" t="str">
        <f ca="1">SECGEN1PERIODO!E15</f>
        <v>BITACORA OPERATIVA</v>
      </c>
      <c r="H35" s="5">
        <f ca="1">SECGEN1PERIODO!F15</f>
        <v>0</v>
      </c>
      <c r="I35" s="5">
        <f ca="1">SECGEN1PERIODO!G15</f>
        <v>0</v>
      </c>
      <c r="J35" s="5">
        <f ca="1">SECGEN1PERIODO!H15</f>
        <v>0</v>
      </c>
      <c r="K35" s="5">
        <f ca="1">SECGEN1PERIODO!I15</f>
        <v>0</v>
      </c>
      <c r="L35" s="5">
        <f ca="1">SECGEN1PERIODO!J15</f>
        <v>0</v>
      </c>
      <c r="M35" s="5">
        <f ca="1">SECGEN1PERIODO!K15</f>
        <v>0</v>
      </c>
      <c r="N35" s="5">
        <f ca="1">SECGEN1PERIODO!L15</f>
        <v>0</v>
      </c>
      <c r="O35" s="5">
        <f ca="1">SECGEN1PERIODO!M15</f>
        <v>0</v>
      </c>
      <c r="P35" s="5">
        <f ca="1">SECGEN1PERIODO!N15</f>
        <v>0</v>
      </c>
      <c r="Q35" s="5">
        <f ca="1">SECGEN1PERIODO!O15</f>
        <v>0</v>
      </c>
      <c r="R35" s="5">
        <f ca="1">SECGEN1PERIODO!P15</f>
        <v>0</v>
      </c>
      <c r="S35" s="5">
        <f ca="1">SECGEN1PERIODO!Q15</f>
        <v>0</v>
      </c>
      <c r="T35" s="5">
        <f ca="1">SECGEN1PERIODO!R15</f>
        <v>0</v>
      </c>
      <c r="U35" s="5">
        <f ca="1">SECGEN1PERIODO!S15</f>
        <v>0</v>
      </c>
    </row>
    <row r="36" spans="1:21" ht="39.75" customHeight="1">
      <c r="A36" s="31"/>
      <c r="B36" s="31"/>
      <c r="C36" s="4" t="s">
        <v>66</v>
      </c>
      <c r="D36" s="5">
        <f ca="1">SECGEN1PERIODO!B16</f>
        <v>900</v>
      </c>
      <c r="E36" s="5" t="str">
        <f ca="1">SECGEN1PERIODO!C16</f>
        <v>ACTAS EXPEDIDAS</v>
      </c>
      <c r="F36" s="5" t="str">
        <f ca="1">SECGEN1PERIODO!D16</f>
        <v>ASCENDENTE</v>
      </c>
      <c r="G36" s="5" t="str">
        <f ca="1">SECGEN1PERIODO!E16</f>
        <v>BITACORA OPERATIVA</v>
      </c>
      <c r="H36" s="5">
        <f ca="1">SECGEN1PERIODO!F16</f>
        <v>0</v>
      </c>
      <c r="I36" s="5">
        <f ca="1">SECGEN1PERIODO!G16</f>
        <v>0</v>
      </c>
      <c r="J36" s="5">
        <f ca="1">SECGEN1PERIODO!H16</f>
        <v>0</v>
      </c>
      <c r="K36" s="5">
        <f ca="1">SECGEN1PERIODO!I16</f>
        <v>0</v>
      </c>
      <c r="L36" s="5">
        <f ca="1">SECGEN1PERIODO!J16</f>
        <v>0</v>
      </c>
      <c r="M36" s="5">
        <f ca="1">SECGEN1PERIODO!K16</f>
        <v>0</v>
      </c>
      <c r="N36" s="5">
        <f ca="1">SECGEN1PERIODO!L16</f>
        <v>0</v>
      </c>
      <c r="O36" s="5">
        <f ca="1">SECGEN1PERIODO!M16</f>
        <v>0</v>
      </c>
      <c r="P36" s="5">
        <f ca="1">SECGEN1PERIODO!N16</f>
        <v>0</v>
      </c>
      <c r="Q36" s="5">
        <f ca="1">SECGEN1PERIODO!O16</f>
        <v>0</v>
      </c>
      <c r="R36" s="5">
        <f ca="1">SECGEN1PERIODO!P16</f>
        <v>0</v>
      </c>
      <c r="S36" s="5">
        <f ca="1">SECGEN1PERIODO!Q16</f>
        <v>0</v>
      </c>
      <c r="T36" s="5">
        <f ca="1">SECGEN1PERIODO!R16</f>
        <v>0</v>
      </c>
      <c r="U36" s="5">
        <f ca="1">SECGEN1PERIODO!S16</f>
        <v>0</v>
      </c>
    </row>
    <row r="37" spans="1:21" ht="39.75" customHeight="1">
      <c r="A37" s="32" t="s">
        <v>67</v>
      </c>
      <c r="B37" s="34" t="s">
        <v>68</v>
      </c>
      <c r="C37" s="7" t="s">
        <v>69</v>
      </c>
      <c r="D37" s="5">
        <f ca="1">GAB1PERIODO!B2</f>
        <v>50</v>
      </c>
      <c r="E37" s="5" t="str">
        <f ca="1">GAB1PERIODO!C2</f>
        <v>M2 INTERVENIDOS</v>
      </c>
      <c r="F37" s="5" t="str">
        <f ca="1">GAB1PERIODO!D2</f>
        <v>ASCENDENTE</v>
      </c>
      <c r="G37" s="5" t="str">
        <f ca="1">GAB1PERIODO!E2</f>
        <v>BITACORA OPERATIVA</v>
      </c>
      <c r="H37" s="5">
        <f ca="1">GAB1PERIODO!F2</f>
        <v>0</v>
      </c>
      <c r="I37" s="5">
        <f ca="1">GAB1PERIODO!G2</f>
        <v>0</v>
      </c>
      <c r="J37" s="5">
        <f ca="1">GAB1PERIODO!H2</f>
        <v>0</v>
      </c>
      <c r="K37" s="5">
        <f ca="1">GAB1PERIODO!I2</f>
        <v>0</v>
      </c>
      <c r="L37" s="5">
        <f ca="1">GAB1PERIODO!J2</f>
        <v>0</v>
      </c>
      <c r="M37" s="5">
        <f ca="1">GAB1PERIODO!K2</f>
        <v>0</v>
      </c>
      <c r="N37" s="5">
        <f ca="1">GAB1PERIODO!L2</f>
        <v>0</v>
      </c>
      <c r="O37" s="5">
        <f ca="1">GAB1PERIODO!M2</f>
        <v>0</v>
      </c>
      <c r="P37" s="5">
        <f ca="1">GAB1PERIODO!N2</f>
        <v>0</v>
      </c>
      <c r="Q37" s="5">
        <f ca="1">GAB1PERIODO!O2</f>
        <v>0</v>
      </c>
      <c r="R37" s="5">
        <f ca="1">GAB1PERIODO!P2</f>
        <v>0</v>
      </c>
      <c r="S37" s="5">
        <f ca="1">GAB1PERIODO!Q2</f>
        <v>0</v>
      </c>
      <c r="T37" s="5">
        <f ca="1">GAB1PERIODO!R2</f>
        <v>0</v>
      </c>
      <c r="U37" s="5">
        <f ca="1">GAB1PERIODO!S2</f>
        <v>0</v>
      </c>
    </row>
    <row r="38" spans="1:21" ht="39.75" customHeight="1">
      <c r="A38" s="30"/>
      <c r="B38" s="30"/>
      <c r="C38" s="7" t="s">
        <v>70</v>
      </c>
      <c r="D38" s="5">
        <f ca="1">GAB1PERIODO!B3</f>
        <v>1200</v>
      </c>
      <c r="E38" s="5" t="str">
        <f ca="1">GAB1PERIODO!C3</f>
        <v>PIEZAS INSTALADAS</v>
      </c>
      <c r="F38" s="5" t="str">
        <f ca="1">GAB1PERIODO!D3</f>
        <v>ASCENDENTE</v>
      </c>
      <c r="G38" s="5" t="str">
        <f ca="1">GAB1PERIODO!E3</f>
        <v>BITACORA OPERATIVA</v>
      </c>
      <c r="H38" s="5">
        <f ca="1">GAB1PERIODO!F3</f>
        <v>0</v>
      </c>
      <c r="I38" s="5">
        <f ca="1">GAB1PERIODO!G3</f>
        <v>0</v>
      </c>
      <c r="J38" s="5">
        <f ca="1">GAB1PERIODO!H3</f>
        <v>0</v>
      </c>
      <c r="K38" s="5">
        <f ca="1">GAB1PERIODO!I3</f>
        <v>0</v>
      </c>
      <c r="L38" s="5">
        <f ca="1">GAB1PERIODO!J3</f>
        <v>0</v>
      </c>
      <c r="M38" s="5">
        <f ca="1">GAB1PERIODO!K3</f>
        <v>0</v>
      </c>
      <c r="N38" s="5">
        <f ca="1">GAB1PERIODO!L3</f>
        <v>0</v>
      </c>
      <c r="O38" s="5">
        <f ca="1">GAB1PERIODO!M3</f>
        <v>0</v>
      </c>
      <c r="P38" s="5">
        <f ca="1">GAB1PERIODO!N3</f>
        <v>0</v>
      </c>
      <c r="Q38" s="5">
        <f ca="1">GAB1PERIODO!O3</f>
        <v>0</v>
      </c>
      <c r="R38" s="5">
        <f ca="1">GAB1PERIODO!P3</f>
        <v>0</v>
      </c>
      <c r="S38" s="5">
        <f ca="1">GAB1PERIODO!Q3</f>
        <v>0</v>
      </c>
      <c r="T38" s="5">
        <f ca="1">GAB1PERIODO!R3</f>
        <v>0</v>
      </c>
      <c r="U38" s="5">
        <f ca="1">GAB1PERIODO!S3</f>
        <v>0</v>
      </c>
    </row>
    <row r="39" spans="1:21" ht="39.75" customHeight="1">
      <c r="A39" s="30"/>
      <c r="B39" s="30"/>
      <c r="C39" s="7" t="s">
        <v>71</v>
      </c>
      <c r="D39" s="5">
        <f ca="1">GAB1PERIODO!B4</f>
        <v>80</v>
      </c>
      <c r="E39" s="5" t="str">
        <f ca="1">GAB1PERIODO!C4</f>
        <v>TOPES INSTALADOS</v>
      </c>
      <c r="F39" s="5" t="str">
        <f ca="1">GAB1PERIODO!D4</f>
        <v>ASCENDENTE</v>
      </c>
      <c r="G39" s="5" t="str">
        <f ca="1">GAB1PERIODO!E4</f>
        <v>BITACORA OPERATIVA</v>
      </c>
      <c r="H39" s="5">
        <f ca="1">GAB1PERIODO!F4</f>
        <v>0</v>
      </c>
      <c r="I39" s="5">
        <f ca="1">GAB1PERIODO!G4</f>
        <v>0</v>
      </c>
      <c r="J39" s="5">
        <f ca="1">GAB1PERIODO!H4</f>
        <v>0</v>
      </c>
      <c r="K39" s="5">
        <f ca="1">GAB1PERIODO!I4</f>
        <v>0</v>
      </c>
      <c r="L39" s="5">
        <f ca="1">GAB1PERIODO!J4</f>
        <v>0</v>
      </c>
      <c r="M39" s="5">
        <f ca="1">GAB1PERIODO!K4</f>
        <v>0</v>
      </c>
      <c r="N39" s="5">
        <f ca="1">GAB1PERIODO!L4</f>
        <v>0</v>
      </c>
      <c r="O39" s="5">
        <f ca="1">GAB1PERIODO!M4</f>
        <v>0</v>
      </c>
      <c r="P39" s="5">
        <f ca="1">GAB1PERIODO!N4</f>
        <v>0</v>
      </c>
      <c r="Q39" s="5">
        <f ca="1">GAB1PERIODO!O4</f>
        <v>0</v>
      </c>
      <c r="R39" s="5">
        <f ca="1">GAB1PERIODO!P4</f>
        <v>0</v>
      </c>
      <c r="S39" s="5">
        <f ca="1">GAB1PERIODO!Q4</f>
        <v>0</v>
      </c>
      <c r="T39" s="5">
        <f ca="1">GAB1PERIODO!R4</f>
        <v>0</v>
      </c>
      <c r="U39" s="5">
        <f ca="1">GAB1PERIODO!S4</f>
        <v>0</v>
      </c>
    </row>
    <row r="40" spans="1:21" ht="39.75" customHeight="1">
      <c r="A40" s="30"/>
      <c r="B40" s="30"/>
      <c r="C40" s="7" t="s">
        <v>72</v>
      </c>
      <c r="D40" s="5">
        <f ca="1">GAB1PERIODO!B5</f>
        <v>15</v>
      </c>
      <c r="E40" s="5" t="str">
        <f ca="1">GAB1PERIODO!C5</f>
        <v>ESPACIOS INTERVENIDOS</v>
      </c>
      <c r="F40" s="5" t="str">
        <f ca="1">GAB1PERIODO!D5</f>
        <v>ASCENDENTE</v>
      </c>
      <c r="G40" s="5" t="str">
        <f ca="1">GAB1PERIODO!E5</f>
        <v>BITACORA OPERATIVA</v>
      </c>
      <c r="H40" s="5">
        <f ca="1">GAB1PERIODO!F5</f>
        <v>0</v>
      </c>
      <c r="I40" s="5">
        <f ca="1">GAB1PERIODO!G5</f>
        <v>0</v>
      </c>
      <c r="J40" s="5">
        <f ca="1">GAB1PERIODO!H5</f>
        <v>0</v>
      </c>
      <c r="K40" s="5">
        <f ca="1">GAB1PERIODO!I5</f>
        <v>0</v>
      </c>
      <c r="L40" s="5">
        <f ca="1">GAB1PERIODO!J5</f>
        <v>0</v>
      </c>
      <c r="M40" s="5">
        <f ca="1">GAB1PERIODO!K5</f>
        <v>0</v>
      </c>
      <c r="N40" s="5">
        <f ca="1">GAB1PERIODO!L5</f>
        <v>0</v>
      </c>
      <c r="O40" s="5">
        <f ca="1">GAB1PERIODO!M5</f>
        <v>0</v>
      </c>
      <c r="P40" s="5">
        <f ca="1">GAB1PERIODO!N5</f>
        <v>0</v>
      </c>
      <c r="Q40" s="5">
        <f ca="1">GAB1PERIODO!O5</f>
        <v>0</v>
      </c>
      <c r="R40" s="5">
        <f ca="1">GAB1PERIODO!P5</f>
        <v>0</v>
      </c>
      <c r="S40" s="5">
        <f ca="1">GAB1PERIODO!Q5</f>
        <v>0</v>
      </c>
      <c r="T40" s="5">
        <f ca="1">GAB1PERIODO!R5</f>
        <v>0</v>
      </c>
      <c r="U40" s="5">
        <f ca="1">GAB1PERIODO!S5</f>
        <v>0</v>
      </c>
    </row>
    <row r="41" spans="1:21" ht="39.75" customHeight="1">
      <c r="A41" s="30"/>
      <c r="B41" s="31"/>
      <c r="C41" s="7" t="s">
        <v>73</v>
      </c>
      <c r="D41" s="5">
        <f ca="1">GAB1PERIODO!B6</f>
        <v>30</v>
      </c>
      <c r="E41" s="5" t="str">
        <f ca="1">GAB1PERIODO!C6</f>
        <v>PROYECTOS EJECUTADOS</v>
      </c>
      <c r="F41" s="5" t="str">
        <f ca="1">GAB1PERIODO!D6</f>
        <v>ASCENDENTE</v>
      </c>
      <c r="G41" s="5" t="str">
        <f ca="1">GAB1PERIODO!E6</f>
        <v>BITACORA OPERATIVA</v>
      </c>
      <c r="H41" s="5">
        <f ca="1">GAB1PERIODO!F6</f>
        <v>0</v>
      </c>
      <c r="I41" s="5">
        <f ca="1">GAB1PERIODO!G6</f>
        <v>0</v>
      </c>
      <c r="J41" s="5">
        <f ca="1">GAB1PERIODO!H6</f>
        <v>0</v>
      </c>
      <c r="K41" s="5">
        <f ca="1">GAB1PERIODO!I6</f>
        <v>0</v>
      </c>
      <c r="L41" s="5">
        <f ca="1">GAB1PERIODO!J6</f>
        <v>0</v>
      </c>
      <c r="M41" s="5">
        <f ca="1">GAB1PERIODO!K6</f>
        <v>0</v>
      </c>
      <c r="N41" s="5">
        <f ca="1">GAB1PERIODO!L6</f>
        <v>0</v>
      </c>
      <c r="O41" s="5">
        <f ca="1">GAB1PERIODO!M6</f>
        <v>0</v>
      </c>
      <c r="P41" s="5">
        <f ca="1">GAB1PERIODO!N6</f>
        <v>0</v>
      </c>
      <c r="Q41" s="5">
        <f ca="1">GAB1PERIODO!O6</f>
        <v>0</v>
      </c>
      <c r="R41" s="5">
        <f ca="1">GAB1PERIODO!P6</f>
        <v>0</v>
      </c>
      <c r="S41" s="5">
        <f ca="1">GAB1PERIODO!Q6</f>
        <v>0</v>
      </c>
      <c r="T41" s="5">
        <f ca="1">GAB1PERIODO!R6</f>
        <v>0</v>
      </c>
      <c r="U41" s="5">
        <f ca="1">GAB1PERIODO!S6</f>
        <v>0</v>
      </c>
    </row>
    <row r="42" spans="1:21" ht="39.75" customHeight="1">
      <c r="A42" s="30"/>
      <c r="B42" s="34" t="s">
        <v>74</v>
      </c>
      <c r="C42" s="7" t="s">
        <v>75</v>
      </c>
      <c r="D42" s="5">
        <f ca="1">GAB1PERIODO!B7</f>
        <v>12</v>
      </c>
      <c r="E42" s="5" t="str">
        <f ca="1">GAB1PERIODO!C7</f>
        <v>SESIONES</v>
      </c>
      <c r="F42" s="5" t="str">
        <f ca="1">GAB1PERIODO!D7</f>
        <v>ASCENDENTE</v>
      </c>
      <c r="G42" s="5" t="str">
        <f ca="1">GAB1PERIODO!E7</f>
        <v>BITACORA OPERATIVA</v>
      </c>
      <c r="H42" s="5">
        <f ca="1">GAB1PERIODO!F7</f>
        <v>0</v>
      </c>
      <c r="I42" s="5">
        <f ca="1">GAB1PERIODO!G7</f>
        <v>0</v>
      </c>
      <c r="J42" s="5">
        <f ca="1">GAB1PERIODO!H7</f>
        <v>0</v>
      </c>
      <c r="K42" s="5">
        <f ca="1">GAB1PERIODO!I7</f>
        <v>0</v>
      </c>
      <c r="L42" s="5">
        <f ca="1">GAB1PERIODO!J7</f>
        <v>0</v>
      </c>
      <c r="M42" s="5">
        <f ca="1">GAB1PERIODO!K7</f>
        <v>0</v>
      </c>
      <c r="N42" s="5">
        <f ca="1">GAB1PERIODO!L7</f>
        <v>0</v>
      </c>
      <c r="O42" s="5">
        <f ca="1">GAB1PERIODO!M7</f>
        <v>0</v>
      </c>
      <c r="P42" s="5">
        <f ca="1">GAB1PERIODO!N7</f>
        <v>0</v>
      </c>
      <c r="Q42" s="5">
        <f ca="1">GAB1PERIODO!O7</f>
        <v>0</v>
      </c>
      <c r="R42" s="5">
        <f ca="1">GAB1PERIODO!P7</f>
        <v>0</v>
      </c>
      <c r="S42" s="5">
        <f ca="1">GAB1PERIODO!Q7</f>
        <v>0</v>
      </c>
      <c r="T42" s="5">
        <f ca="1">GAB1PERIODO!R7</f>
        <v>0</v>
      </c>
      <c r="U42" s="5">
        <f ca="1">GAB1PERIODO!S7</f>
        <v>0</v>
      </c>
    </row>
    <row r="43" spans="1:21" ht="39.75" customHeight="1">
      <c r="A43" s="30"/>
      <c r="B43" s="30"/>
      <c r="C43" s="7" t="s">
        <v>76</v>
      </c>
      <c r="D43" s="5">
        <f ca="1">GAB1PERIODO!B8</f>
        <v>520</v>
      </c>
      <c r="E43" s="5" t="str">
        <f ca="1">GAB1PERIODO!C8</f>
        <v>ACUERDOS TOMADOS</v>
      </c>
      <c r="F43" s="5" t="str">
        <f ca="1">GAB1PERIODO!D8</f>
        <v>ASCENDENTE</v>
      </c>
      <c r="G43" s="5" t="str">
        <f ca="1">GAB1PERIODO!E8</f>
        <v>BITACORA OPERATIVA</v>
      </c>
      <c r="H43" s="5">
        <f ca="1">GAB1PERIODO!F8</f>
        <v>0</v>
      </c>
      <c r="I43" s="5">
        <f ca="1">GAB1PERIODO!G8</f>
        <v>0</v>
      </c>
      <c r="J43" s="5">
        <f ca="1">GAB1PERIODO!H8</f>
        <v>0</v>
      </c>
      <c r="K43" s="5">
        <f ca="1">GAB1PERIODO!I8</f>
        <v>0</v>
      </c>
      <c r="L43" s="5">
        <f ca="1">GAB1PERIODO!J8</f>
        <v>0</v>
      </c>
      <c r="M43" s="5">
        <f ca="1">GAB1PERIODO!K8</f>
        <v>0</v>
      </c>
      <c r="N43" s="5">
        <f ca="1">GAB1PERIODO!L8</f>
        <v>0</v>
      </c>
      <c r="O43" s="5">
        <f ca="1">GAB1PERIODO!M8</f>
        <v>0</v>
      </c>
      <c r="P43" s="5">
        <f ca="1">GAB1PERIODO!N8</f>
        <v>0</v>
      </c>
      <c r="Q43" s="5">
        <f ca="1">GAB1PERIODO!O8</f>
        <v>0</v>
      </c>
      <c r="R43" s="5">
        <f ca="1">GAB1PERIODO!P8</f>
        <v>0</v>
      </c>
      <c r="S43" s="5">
        <f ca="1">GAB1PERIODO!Q8</f>
        <v>0</v>
      </c>
      <c r="T43" s="5">
        <f ca="1">GAB1PERIODO!R8</f>
        <v>0</v>
      </c>
      <c r="U43" s="5">
        <f ca="1">GAB1PERIODO!S8</f>
        <v>0</v>
      </c>
    </row>
    <row r="44" spans="1:21" ht="39.75" customHeight="1">
      <c r="A44" s="30"/>
      <c r="B44" s="31"/>
      <c r="C44" s="7" t="s">
        <v>77</v>
      </c>
      <c r="D44" s="5">
        <f ca="1">GAB1PERIODO!B9</f>
        <v>500</v>
      </c>
      <c r="E44" s="5" t="str">
        <f ca="1">GAB1PERIODO!C9</f>
        <v>SESIONES</v>
      </c>
      <c r="F44" s="5" t="str">
        <f ca="1">GAB1PERIODO!D9</f>
        <v>ASCENDENTE</v>
      </c>
      <c r="G44" s="5" t="str">
        <f ca="1">GAB1PERIODO!E9</f>
        <v>BITACORA OPERATIVA</v>
      </c>
      <c r="H44" s="5">
        <f ca="1">GAB1PERIODO!F9</f>
        <v>0</v>
      </c>
      <c r="I44" s="5">
        <f ca="1">GAB1PERIODO!G9</f>
        <v>0</v>
      </c>
      <c r="J44" s="5">
        <f ca="1">GAB1PERIODO!H9</f>
        <v>0</v>
      </c>
      <c r="K44" s="5">
        <f ca="1">GAB1PERIODO!I9</f>
        <v>0</v>
      </c>
      <c r="L44" s="5">
        <f ca="1">GAB1PERIODO!J9</f>
        <v>0</v>
      </c>
      <c r="M44" s="5">
        <f ca="1">GAB1PERIODO!K9</f>
        <v>0</v>
      </c>
      <c r="N44" s="5">
        <f ca="1">GAB1PERIODO!L9</f>
        <v>0</v>
      </c>
      <c r="O44" s="5">
        <f ca="1">GAB1PERIODO!M9</f>
        <v>0</v>
      </c>
      <c r="P44" s="5">
        <f ca="1">GAB1PERIODO!N9</f>
        <v>0</v>
      </c>
      <c r="Q44" s="5">
        <f ca="1">GAB1PERIODO!O9</f>
        <v>0</v>
      </c>
      <c r="R44" s="5">
        <f ca="1">GAB1PERIODO!P9</f>
        <v>0</v>
      </c>
      <c r="S44" s="5">
        <f ca="1">GAB1PERIODO!Q9</f>
        <v>0</v>
      </c>
      <c r="T44" s="5">
        <f ca="1">GAB1PERIODO!R9</f>
        <v>0</v>
      </c>
      <c r="U44" s="5">
        <f ca="1">GAB1PERIODO!S9</f>
        <v>0</v>
      </c>
    </row>
    <row r="45" spans="1:21" ht="39.75" customHeight="1">
      <c r="A45" s="30"/>
      <c r="B45" s="34" t="s">
        <v>78</v>
      </c>
      <c r="C45" s="7" t="s">
        <v>79</v>
      </c>
      <c r="D45" s="5">
        <f ca="1">GAB1PERIODO!B10</f>
        <v>1100</v>
      </c>
      <c r="E45" s="5" t="str">
        <f ca="1">GAB1PERIODO!C10</f>
        <v>HERRAMIENTAS REALIZADAS</v>
      </c>
      <c r="F45" s="5" t="str">
        <f ca="1">GAB1PERIODO!D10</f>
        <v>ASCENDENTE</v>
      </c>
      <c r="G45" s="5" t="str">
        <f ca="1">GAB1PERIODO!E10</f>
        <v>BITACORA OPERATIVA</v>
      </c>
      <c r="H45" s="5">
        <f ca="1">GAB1PERIODO!F10</f>
        <v>40</v>
      </c>
      <c r="I45" s="5">
        <f ca="1">GAB1PERIODO!G10</f>
        <v>3</v>
      </c>
      <c r="J45" s="5">
        <f ca="1">GAB1PERIODO!H10</f>
        <v>1</v>
      </c>
      <c r="K45" s="5">
        <f ca="1">GAB1PERIODO!I10</f>
        <v>1</v>
      </c>
      <c r="L45" s="5">
        <f ca="1">GAB1PERIODO!J10</f>
        <v>1</v>
      </c>
      <c r="M45" s="5">
        <f ca="1">GAB1PERIODO!K10</f>
        <v>1</v>
      </c>
      <c r="N45" s="5">
        <f ca="1">GAB1PERIODO!L10</f>
        <v>1</v>
      </c>
      <c r="O45" s="5">
        <f ca="1">GAB1PERIODO!M10</f>
        <v>0</v>
      </c>
      <c r="P45" s="5">
        <f ca="1">GAB1PERIODO!N10</f>
        <v>0</v>
      </c>
      <c r="Q45" s="5">
        <f ca="1">GAB1PERIODO!O10</f>
        <v>0</v>
      </c>
      <c r="R45" s="5">
        <f ca="1">GAB1PERIODO!P10</f>
        <v>0</v>
      </c>
      <c r="S45" s="5">
        <f ca="1">GAB1PERIODO!Q10</f>
        <v>0</v>
      </c>
      <c r="T45" s="5">
        <f ca="1">GAB1PERIODO!R10</f>
        <v>0</v>
      </c>
      <c r="U45" s="5">
        <f ca="1">GAB1PERIODO!S10</f>
        <v>8</v>
      </c>
    </row>
    <row r="46" spans="1:21" ht="39.75" customHeight="1">
      <c r="A46" s="30"/>
      <c r="B46" s="30"/>
      <c r="C46" s="7" t="s">
        <v>80</v>
      </c>
      <c r="D46" s="5">
        <f ca="1">GAB1PERIODO!B11</f>
        <v>980</v>
      </c>
      <c r="E46" s="5" t="str">
        <f ca="1">GAB1PERIODO!C11</f>
        <v>HERRAMIENTAS ACTUALIZADAS</v>
      </c>
      <c r="F46" s="5" t="str">
        <f ca="1">GAB1PERIODO!D11</f>
        <v>ASCENDENTE</v>
      </c>
      <c r="G46" s="5" t="str">
        <f ca="1">GAB1PERIODO!E11</f>
        <v>BITACORA OPERATIVA</v>
      </c>
      <c r="H46" s="5">
        <f ca="1">GAB1PERIODO!F11</f>
        <v>16.6666666666666</v>
      </c>
      <c r="I46" s="5">
        <f ca="1">GAB1PERIODO!G11</f>
        <v>0</v>
      </c>
      <c r="J46" s="5">
        <f ca="1">GAB1PERIODO!H11</f>
        <v>0</v>
      </c>
      <c r="K46" s="5">
        <f ca="1">GAB1PERIODO!I11</f>
        <v>0</v>
      </c>
      <c r="L46" s="5">
        <f ca="1">GAB1PERIODO!J11</f>
        <v>0</v>
      </c>
      <c r="M46" s="5">
        <f ca="1">GAB1PERIODO!K11</f>
        <v>2</v>
      </c>
      <c r="N46" s="5">
        <f ca="1">GAB1PERIODO!L11</f>
        <v>1</v>
      </c>
      <c r="O46" s="5">
        <f ca="1">GAB1PERIODO!M11</f>
        <v>0</v>
      </c>
      <c r="P46" s="5">
        <f ca="1">GAB1PERIODO!N11</f>
        <v>0</v>
      </c>
      <c r="Q46" s="5">
        <f ca="1">GAB1PERIODO!O11</f>
        <v>0</v>
      </c>
      <c r="R46" s="5">
        <f ca="1">GAB1PERIODO!P11</f>
        <v>0</v>
      </c>
      <c r="S46" s="5">
        <f ca="1">GAB1PERIODO!Q11</f>
        <v>0</v>
      </c>
      <c r="T46" s="5">
        <f ca="1">GAB1PERIODO!R11</f>
        <v>0</v>
      </c>
      <c r="U46" s="5">
        <f ca="1">GAB1PERIODO!S11</f>
        <v>3</v>
      </c>
    </row>
    <row r="47" spans="1:21" ht="39.75" customHeight="1">
      <c r="A47" s="30"/>
      <c r="B47" s="30"/>
      <c r="C47" s="7" t="s">
        <v>77</v>
      </c>
      <c r="D47" s="5">
        <f ca="1">GAB1PERIODO!B12</f>
        <v>70</v>
      </c>
      <c r="E47" s="5" t="str">
        <f ca="1">GAB1PERIODO!C12</f>
        <v>SESIONES</v>
      </c>
      <c r="F47" s="5" t="str">
        <f ca="1">GAB1PERIODO!D12</f>
        <v>ASCENDENTE</v>
      </c>
      <c r="G47" s="5" t="str">
        <f ca="1">GAB1PERIODO!E12</f>
        <v>BITACORA OPERATIVA</v>
      </c>
      <c r="H47" s="5">
        <f ca="1">GAB1PERIODO!F12</f>
        <v>25</v>
      </c>
      <c r="I47" s="5">
        <f ca="1">GAB1PERIODO!G12</f>
        <v>5</v>
      </c>
      <c r="J47" s="5">
        <f ca="1">GAB1PERIODO!H12</f>
        <v>4</v>
      </c>
      <c r="K47" s="5">
        <f ca="1">GAB1PERIODO!I12</f>
        <v>4</v>
      </c>
      <c r="L47" s="5">
        <f ca="1">GAB1PERIODO!J12</f>
        <v>5</v>
      </c>
      <c r="M47" s="5">
        <f ca="1">GAB1PERIODO!K12</f>
        <v>4</v>
      </c>
      <c r="N47" s="5">
        <f ca="1">GAB1PERIODO!L12</f>
        <v>3</v>
      </c>
      <c r="O47" s="5">
        <f ca="1">GAB1PERIODO!M12</f>
        <v>0</v>
      </c>
      <c r="P47" s="5">
        <f ca="1">GAB1PERIODO!N12</f>
        <v>0</v>
      </c>
      <c r="Q47" s="5">
        <f ca="1">GAB1PERIODO!O12</f>
        <v>0</v>
      </c>
      <c r="R47" s="5">
        <f ca="1">GAB1PERIODO!P12</f>
        <v>0</v>
      </c>
      <c r="S47" s="5">
        <f ca="1">GAB1PERIODO!Q12</f>
        <v>0</v>
      </c>
      <c r="T47" s="5">
        <f ca="1">GAB1PERIODO!R12</f>
        <v>0</v>
      </c>
      <c r="U47" s="5">
        <f ca="1">GAB1PERIODO!S12</f>
        <v>25</v>
      </c>
    </row>
    <row r="48" spans="1:21" ht="39.75" customHeight="1">
      <c r="A48" s="30"/>
      <c r="B48" s="30"/>
      <c r="C48" s="7" t="s">
        <v>81</v>
      </c>
      <c r="D48" s="5">
        <f ca="1">GAB1PERIODO!B13</f>
        <v>80</v>
      </c>
      <c r="E48" s="5" t="str">
        <f ca="1">GAB1PERIODO!C13</f>
        <v>ACUERDOS TOMADOS</v>
      </c>
      <c r="F48" s="5" t="str">
        <f ca="1">GAB1PERIODO!D13</f>
        <v>ASCENDENTE</v>
      </c>
      <c r="G48" s="5" t="str">
        <f ca="1">GAB1PERIODO!E13</f>
        <v>BITACORA OPERATIVA</v>
      </c>
      <c r="H48" s="5">
        <f ca="1">GAB1PERIODO!F13</f>
        <v>37.5</v>
      </c>
      <c r="I48" s="5">
        <f ca="1">GAB1PERIODO!G13</f>
        <v>30</v>
      </c>
      <c r="J48" s="5">
        <f ca="1">GAB1PERIODO!H13</f>
        <v>0</v>
      </c>
      <c r="K48" s="5">
        <f ca="1">GAB1PERIODO!I13</f>
        <v>10</v>
      </c>
      <c r="L48" s="5">
        <f ca="1">GAB1PERIODO!J13</f>
        <v>15</v>
      </c>
      <c r="M48" s="5">
        <f ca="1">GAB1PERIODO!K13</f>
        <v>15</v>
      </c>
      <c r="N48" s="5">
        <f ca="1">GAB1PERIODO!L13</f>
        <v>5</v>
      </c>
      <c r="O48" s="5">
        <f ca="1">GAB1PERIODO!M13</f>
        <v>0</v>
      </c>
      <c r="P48" s="5">
        <f ca="1">GAB1PERIODO!N13</f>
        <v>0</v>
      </c>
      <c r="Q48" s="5">
        <f ca="1">GAB1PERIODO!O13</f>
        <v>0</v>
      </c>
      <c r="R48" s="5">
        <f ca="1">GAB1PERIODO!P13</f>
        <v>0</v>
      </c>
      <c r="S48" s="5">
        <f ca="1">GAB1PERIODO!Q13</f>
        <v>0</v>
      </c>
      <c r="T48" s="5">
        <f ca="1">GAB1PERIODO!R13</f>
        <v>0</v>
      </c>
      <c r="U48" s="5">
        <f ca="1">GAB1PERIODO!S13</f>
        <v>75</v>
      </c>
    </row>
    <row r="49" spans="1:21" ht="39.75" customHeight="1">
      <c r="A49" s="30"/>
      <c r="B49" s="31"/>
      <c r="C49" s="7" t="s">
        <v>82</v>
      </c>
      <c r="D49" s="5">
        <f ca="1">GAB1PERIODO!B14</f>
        <v>30</v>
      </c>
      <c r="E49" s="5" t="str">
        <f ca="1">GAB1PERIODO!C14</f>
        <v>ACTUALIZACIONES</v>
      </c>
      <c r="F49" s="5" t="str">
        <f ca="1">GAB1PERIODO!D14</f>
        <v>ASCENDENTE</v>
      </c>
      <c r="G49" s="5" t="str">
        <f ca="1">GAB1PERIODO!E14</f>
        <v>BITACORA OPERATIVA</v>
      </c>
      <c r="H49" s="5">
        <f ca="1">GAB1PERIODO!F14</f>
        <v>10</v>
      </c>
      <c r="I49" s="5">
        <f ca="1">GAB1PERIODO!G14</f>
        <v>1</v>
      </c>
      <c r="J49" s="5">
        <f ca="1">GAB1PERIODO!H14</f>
        <v>0</v>
      </c>
      <c r="K49" s="5">
        <f ca="1">GAB1PERIODO!I14</f>
        <v>0</v>
      </c>
      <c r="L49" s="5">
        <f ca="1">GAB1PERIODO!J14</f>
        <v>1</v>
      </c>
      <c r="M49" s="5">
        <f ca="1">GAB1PERIODO!K14</f>
        <v>0</v>
      </c>
      <c r="N49" s="5">
        <f ca="1">GAB1PERIODO!L14</f>
        <v>0</v>
      </c>
      <c r="O49" s="5">
        <f ca="1">GAB1PERIODO!M14</f>
        <v>0</v>
      </c>
      <c r="P49" s="5">
        <f ca="1">GAB1PERIODO!N14</f>
        <v>0</v>
      </c>
      <c r="Q49" s="5">
        <f ca="1">GAB1PERIODO!O14</f>
        <v>0</v>
      </c>
      <c r="R49" s="5">
        <f ca="1">GAB1PERIODO!P14</f>
        <v>0</v>
      </c>
      <c r="S49" s="5">
        <f ca="1">GAB1PERIODO!Q14</f>
        <v>0</v>
      </c>
      <c r="T49" s="5">
        <f ca="1">GAB1PERIODO!R14</f>
        <v>0</v>
      </c>
      <c r="U49" s="5">
        <f ca="1">GAB1PERIODO!S14</f>
        <v>2</v>
      </c>
    </row>
    <row r="50" spans="1:21" ht="39.75" customHeight="1">
      <c r="A50" s="30"/>
      <c r="B50" s="34" t="s">
        <v>83</v>
      </c>
      <c r="C50" s="7" t="s">
        <v>84</v>
      </c>
      <c r="D50" s="5">
        <f ca="1">GAB1PERIODO!B15</f>
        <v>400</v>
      </c>
      <c r="E50" s="5" t="str">
        <f ca="1">GAB1PERIODO!C15</f>
        <v>ACTUALIZACIONES</v>
      </c>
      <c r="F50" s="5" t="str">
        <f ca="1">GAB1PERIODO!D15</f>
        <v>ASCENDENTE</v>
      </c>
      <c r="G50" s="5" t="str">
        <f ca="1">GAB1PERIODO!E15</f>
        <v>BITACORA OPERATIVA</v>
      </c>
      <c r="H50" s="5">
        <f ca="1">GAB1PERIODO!F15</f>
        <v>0</v>
      </c>
      <c r="I50" s="5">
        <f ca="1">GAB1PERIODO!G15</f>
        <v>0</v>
      </c>
      <c r="J50" s="5">
        <f ca="1">GAB1PERIODO!H15</f>
        <v>0</v>
      </c>
      <c r="K50" s="5">
        <f ca="1">GAB1PERIODO!I15</f>
        <v>0</v>
      </c>
      <c r="L50" s="5">
        <f ca="1">GAB1PERIODO!J15</f>
        <v>0</v>
      </c>
      <c r="M50" s="5">
        <f ca="1">GAB1PERIODO!K15</f>
        <v>0</v>
      </c>
      <c r="N50" s="5">
        <f ca="1">GAB1PERIODO!L15</f>
        <v>0</v>
      </c>
      <c r="O50" s="5">
        <f ca="1">GAB1PERIODO!M15</f>
        <v>0</v>
      </c>
      <c r="P50" s="5">
        <f ca="1">GAB1PERIODO!N15</f>
        <v>0</v>
      </c>
      <c r="Q50" s="5">
        <f ca="1">GAB1PERIODO!O15</f>
        <v>0</v>
      </c>
      <c r="R50" s="5">
        <f ca="1">GAB1PERIODO!P15</f>
        <v>0</v>
      </c>
      <c r="S50" s="5">
        <f ca="1">GAB1PERIODO!Q15</f>
        <v>0</v>
      </c>
      <c r="T50" s="5">
        <f ca="1">GAB1PERIODO!R15</f>
        <v>0</v>
      </c>
      <c r="U50" s="5">
        <f ca="1">GAB1PERIODO!S15</f>
        <v>0</v>
      </c>
    </row>
    <row r="51" spans="1:21" ht="39.75" customHeight="1">
      <c r="A51" s="30"/>
      <c r="B51" s="30"/>
      <c r="C51" s="7" t="s">
        <v>72</v>
      </c>
      <c r="D51" s="5">
        <f ca="1">GAB1PERIODO!B16</f>
        <v>900</v>
      </c>
      <c r="E51" s="5" t="str">
        <f ca="1">GAB1PERIODO!C16</f>
        <v>DICTAMENES REALIZADOS</v>
      </c>
      <c r="F51" s="5" t="str">
        <f ca="1">GAB1PERIODO!D16</f>
        <v>ASCENDENTE</v>
      </c>
      <c r="G51" s="5" t="str">
        <f ca="1">GAB1PERIODO!E16</f>
        <v>BITACORA OPERATIVA</v>
      </c>
      <c r="H51" s="5">
        <f ca="1">GAB1PERIODO!F16</f>
        <v>0</v>
      </c>
      <c r="I51" s="5">
        <f ca="1">GAB1PERIODO!G16</f>
        <v>0</v>
      </c>
      <c r="J51" s="5">
        <f ca="1">GAB1PERIODO!H16</f>
        <v>0</v>
      </c>
      <c r="K51" s="5">
        <f ca="1">GAB1PERIODO!I16</f>
        <v>0</v>
      </c>
      <c r="L51" s="5">
        <f ca="1">GAB1PERIODO!J16</f>
        <v>0</v>
      </c>
      <c r="M51" s="5">
        <f ca="1">GAB1PERIODO!K16</f>
        <v>0</v>
      </c>
      <c r="N51" s="5">
        <f ca="1">GAB1PERIODO!L16</f>
        <v>0</v>
      </c>
      <c r="O51" s="5">
        <f ca="1">GAB1PERIODO!M16</f>
        <v>0</v>
      </c>
      <c r="P51" s="5">
        <f ca="1">GAB1PERIODO!N16</f>
        <v>0</v>
      </c>
      <c r="Q51" s="5">
        <f ca="1">GAB1PERIODO!O16</f>
        <v>0</v>
      </c>
      <c r="R51" s="5">
        <f ca="1">GAB1PERIODO!P16</f>
        <v>0</v>
      </c>
      <c r="S51" s="5">
        <f ca="1">GAB1PERIODO!Q16</f>
        <v>0</v>
      </c>
      <c r="T51" s="5">
        <f ca="1">GAB1PERIODO!R16</f>
        <v>0</v>
      </c>
      <c r="U51" s="5">
        <f ca="1">GAB1PERIODO!S16</f>
        <v>0</v>
      </c>
    </row>
    <row r="52" spans="1:21" ht="39.75" customHeight="1">
      <c r="A52" s="31"/>
      <c r="B52" s="31"/>
      <c r="C52" s="7" t="s">
        <v>85</v>
      </c>
      <c r="D52" s="5">
        <f ca="1">GAB1PERIODO!B17</f>
        <v>1060</v>
      </c>
      <c r="E52" s="5" t="str">
        <f ca="1">GAB1PERIODO!C17</f>
        <v>REPORTES REALIZADOS</v>
      </c>
      <c r="F52" s="5" t="str">
        <f ca="1">GAB1PERIODO!D17</f>
        <v>ASCENDENTE</v>
      </c>
      <c r="G52" s="5" t="str">
        <f ca="1">GAB1PERIODO!E17</f>
        <v>BITACORA OPERATIVA</v>
      </c>
      <c r="H52" s="5">
        <f ca="1">GAB1PERIODO!F17</f>
        <v>0</v>
      </c>
      <c r="I52" s="5">
        <f ca="1">GAB1PERIODO!G17</f>
        <v>0</v>
      </c>
      <c r="J52" s="5">
        <f ca="1">GAB1PERIODO!H17</f>
        <v>0</v>
      </c>
      <c r="K52" s="5">
        <f ca="1">GAB1PERIODO!I17</f>
        <v>0</v>
      </c>
      <c r="L52" s="5">
        <f ca="1">GAB1PERIODO!J17</f>
        <v>0</v>
      </c>
      <c r="M52" s="5">
        <f ca="1">GAB1PERIODO!K17</f>
        <v>0</v>
      </c>
      <c r="N52" s="5">
        <f ca="1">GAB1PERIODO!L17</f>
        <v>0</v>
      </c>
      <c r="O52" s="5">
        <f ca="1">GAB1PERIODO!M17</f>
        <v>0</v>
      </c>
      <c r="P52" s="5">
        <f ca="1">GAB1PERIODO!N17</f>
        <v>0</v>
      </c>
      <c r="Q52" s="5">
        <f ca="1">GAB1PERIODO!O17</f>
        <v>0</v>
      </c>
      <c r="R52" s="5">
        <f ca="1">GAB1PERIODO!P17</f>
        <v>0</v>
      </c>
      <c r="S52" s="5">
        <f ca="1">GAB1PERIODO!Q17</f>
        <v>0</v>
      </c>
      <c r="T52" s="5">
        <f ca="1">GAB1PERIODO!R17</f>
        <v>0</v>
      </c>
      <c r="U52" s="5">
        <f ca="1">GAB1PERIODO!S17</f>
        <v>0</v>
      </c>
    </row>
    <row r="53" spans="1:21" ht="39.75" customHeight="1">
      <c r="A53" s="32" t="s">
        <v>86</v>
      </c>
      <c r="B53" s="29" t="s">
        <v>87</v>
      </c>
      <c r="C53" s="4" t="s">
        <v>88</v>
      </c>
      <c r="D53" s="9">
        <f ca="1">TESORERIA1PERIODO!B2</f>
        <v>1</v>
      </c>
      <c r="E53" s="9" t="str">
        <f ca="1">TESORERIA1PERIODO!C2</f>
        <v>CERTIFICACIONES</v>
      </c>
      <c r="F53" s="9" t="str">
        <f ca="1">TESORERIA1PERIODO!D2</f>
        <v>ASCENDENTE</v>
      </c>
      <c r="G53" s="9" t="str">
        <f ca="1">TESORERIA1PERIODO!E2</f>
        <v>SESIONES PUBLICAS</v>
      </c>
      <c r="H53" s="9">
        <f ca="1">TESORERIA1PERIODO!F2</f>
        <v>0</v>
      </c>
      <c r="I53" s="9">
        <f ca="1">TESORERIA1PERIODO!G2</f>
        <v>0</v>
      </c>
      <c r="J53" s="9">
        <f ca="1">TESORERIA1PERIODO!H2</f>
        <v>0</v>
      </c>
      <c r="K53" s="9">
        <f ca="1">TESORERIA1PERIODO!I2</f>
        <v>0</v>
      </c>
      <c r="L53" s="9">
        <f ca="1">TESORERIA1PERIODO!J2</f>
        <v>0</v>
      </c>
      <c r="M53" s="9">
        <f ca="1">TESORERIA1PERIODO!K2</f>
        <v>0</v>
      </c>
      <c r="N53" s="9">
        <f ca="1">TESORERIA1PERIODO!L2</f>
        <v>0</v>
      </c>
      <c r="O53" s="9">
        <f ca="1">TESORERIA1PERIODO!M2</f>
        <v>0</v>
      </c>
      <c r="P53" s="9">
        <f ca="1">TESORERIA1PERIODO!N2</f>
        <v>0</v>
      </c>
      <c r="Q53" s="9">
        <f ca="1">TESORERIA1PERIODO!O2</f>
        <v>0</v>
      </c>
      <c r="R53" s="9">
        <f ca="1">TESORERIA1PERIODO!P2</f>
        <v>0</v>
      </c>
      <c r="S53" s="9">
        <f ca="1">TESORERIA1PERIODO!Q2</f>
        <v>0</v>
      </c>
      <c r="T53" s="9">
        <f ca="1">TESORERIA1PERIODO!R2</f>
        <v>0</v>
      </c>
      <c r="U53" s="9">
        <f ca="1">TESORERIA1PERIODO!S2</f>
        <v>0</v>
      </c>
    </row>
    <row r="54" spans="1:21" ht="39.75" customHeight="1">
      <c r="A54" s="30"/>
      <c r="B54" s="30"/>
      <c r="C54" s="4" t="s">
        <v>89</v>
      </c>
      <c r="D54" s="9">
        <f ca="1">TESORERIA1PERIODO!B3</f>
        <v>1</v>
      </c>
      <c r="E54" s="9" t="str">
        <f ca="1">TESORERIA1PERIODO!C3</f>
        <v>COPIAS</v>
      </c>
      <c r="F54" s="9" t="str">
        <f ca="1">TESORERIA1PERIODO!D3</f>
        <v>ASCENDENTE</v>
      </c>
      <c r="G54" s="9" t="str">
        <f ca="1">TESORERIA1PERIODO!E3</f>
        <v>BITACORA DE ATENCION</v>
      </c>
      <c r="H54" s="9">
        <f ca="1">TESORERIA1PERIODO!F3</f>
        <v>0</v>
      </c>
      <c r="I54" s="9">
        <f ca="1">TESORERIA1PERIODO!G3</f>
        <v>0</v>
      </c>
      <c r="J54" s="9">
        <f ca="1">TESORERIA1PERIODO!H3</f>
        <v>0</v>
      </c>
      <c r="K54" s="9">
        <f ca="1">TESORERIA1PERIODO!I3</f>
        <v>0</v>
      </c>
      <c r="L54" s="9">
        <f ca="1">TESORERIA1PERIODO!J3</f>
        <v>0</v>
      </c>
      <c r="M54" s="9">
        <f ca="1">TESORERIA1PERIODO!K3</f>
        <v>0</v>
      </c>
      <c r="N54" s="9">
        <f ca="1">TESORERIA1PERIODO!L3</f>
        <v>0</v>
      </c>
      <c r="O54" s="9">
        <f ca="1">TESORERIA1PERIODO!M3</f>
        <v>0</v>
      </c>
      <c r="P54" s="9">
        <f ca="1">TESORERIA1PERIODO!N3</f>
        <v>0</v>
      </c>
      <c r="Q54" s="9">
        <f ca="1">TESORERIA1PERIODO!O3</f>
        <v>0</v>
      </c>
      <c r="R54" s="9">
        <f ca="1">TESORERIA1PERIODO!P3</f>
        <v>0</v>
      </c>
      <c r="S54" s="9">
        <f ca="1">TESORERIA1PERIODO!Q3</f>
        <v>0</v>
      </c>
      <c r="T54" s="9">
        <f ca="1">TESORERIA1PERIODO!R3</f>
        <v>0</v>
      </c>
      <c r="U54" s="9">
        <f ca="1">TESORERIA1PERIODO!S3</f>
        <v>0</v>
      </c>
    </row>
    <row r="55" spans="1:21" ht="39.75" customHeight="1">
      <c r="A55" s="30"/>
      <c r="B55" s="30"/>
      <c r="C55" s="4" t="s">
        <v>90</v>
      </c>
      <c r="D55" s="9">
        <f ca="1">TESORERIA1PERIODO!B4</f>
        <v>1</v>
      </c>
      <c r="E55" s="9" t="str">
        <f ca="1">TESORERIA1PERIODO!C4</f>
        <v>VALUACIONES</v>
      </c>
      <c r="F55" s="9" t="str">
        <f ca="1">TESORERIA1PERIODO!D4</f>
        <v>ASCENDENTE</v>
      </c>
      <c r="G55" s="9" t="str">
        <f ca="1">TESORERIA1PERIODO!E4</f>
        <v>BITACORA DE ATENCION</v>
      </c>
      <c r="H55" s="9">
        <f ca="1">TESORERIA1PERIODO!F4</f>
        <v>0</v>
      </c>
      <c r="I55" s="9">
        <f ca="1">TESORERIA1PERIODO!G4</f>
        <v>0</v>
      </c>
      <c r="J55" s="9">
        <f ca="1">TESORERIA1PERIODO!H4</f>
        <v>0</v>
      </c>
      <c r="K55" s="9">
        <f ca="1">TESORERIA1PERIODO!I4</f>
        <v>0</v>
      </c>
      <c r="L55" s="9">
        <f ca="1">TESORERIA1PERIODO!J4</f>
        <v>0</v>
      </c>
      <c r="M55" s="9">
        <f ca="1">TESORERIA1PERIODO!K4</f>
        <v>0</v>
      </c>
      <c r="N55" s="9">
        <f ca="1">TESORERIA1PERIODO!L4</f>
        <v>0</v>
      </c>
      <c r="O55" s="9">
        <f ca="1">TESORERIA1PERIODO!M4</f>
        <v>0</v>
      </c>
      <c r="P55" s="9">
        <f ca="1">TESORERIA1PERIODO!N4</f>
        <v>0</v>
      </c>
      <c r="Q55" s="9">
        <f ca="1">TESORERIA1PERIODO!O4</f>
        <v>0</v>
      </c>
      <c r="R55" s="9">
        <f ca="1">TESORERIA1PERIODO!P4</f>
        <v>0</v>
      </c>
      <c r="S55" s="9">
        <f ca="1">TESORERIA1PERIODO!Q4</f>
        <v>0</v>
      </c>
      <c r="T55" s="9">
        <f ca="1">TESORERIA1PERIODO!R4</f>
        <v>0</v>
      </c>
      <c r="U55" s="9">
        <f ca="1">TESORERIA1PERIODO!S4</f>
        <v>0</v>
      </c>
    </row>
    <row r="56" spans="1:21" ht="39.75" customHeight="1">
      <c r="A56" s="30"/>
      <c r="B56" s="31"/>
      <c r="C56" s="4" t="s">
        <v>91</v>
      </c>
      <c r="D56" s="9">
        <f ca="1">TESORERIA1PERIODO!B5</f>
        <v>1</v>
      </c>
      <c r="E56" s="9" t="str">
        <f ca="1">TESORERIA1PERIODO!C5</f>
        <v>REGISTROS</v>
      </c>
      <c r="F56" s="9" t="str">
        <f ca="1">TESORERIA1PERIODO!D5</f>
        <v>ASCENDENTE</v>
      </c>
      <c r="G56" s="9" t="str">
        <f ca="1">TESORERIA1PERIODO!E5</f>
        <v>BITACORA OPERATIVA</v>
      </c>
      <c r="H56" s="9">
        <f ca="1">TESORERIA1PERIODO!F5</f>
        <v>0</v>
      </c>
      <c r="I56" s="9">
        <f ca="1">TESORERIA1PERIODO!G5</f>
        <v>0</v>
      </c>
      <c r="J56" s="9">
        <f ca="1">TESORERIA1PERIODO!H5</f>
        <v>0</v>
      </c>
      <c r="K56" s="9">
        <f ca="1">TESORERIA1PERIODO!I5</f>
        <v>0</v>
      </c>
      <c r="L56" s="9">
        <f ca="1">TESORERIA1PERIODO!J5</f>
        <v>0</v>
      </c>
      <c r="M56" s="9">
        <f ca="1">TESORERIA1PERIODO!K5</f>
        <v>0</v>
      </c>
      <c r="N56" s="9">
        <f ca="1">TESORERIA1PERIODO!L5</f>
        <v>0</v>
      </c>
      <c r="O56" s="9">
        <f ca="1">TESORERIA1PERIODO!M5</f>
        <v>0</v>
      </c>
      <c r="P56" s="9">
        <f ca="1">TESORERIA1PERIODO!N5</f>
        <v>0</v>
      </c>
      <c r="Q56" s="9">
        <f ca="1">TESORERIA1PERIODO!O5</f>
        <v>0</v>
      </c>
      <c r="R56" s="9">
        <f ca="1">TESORERIA1PERIODO!P5</f>
        <v>0</v>
      </c>
      <c r="S56" s="9">
        <f ca="1">TESORERIA1PERIODO!Q5</f>
        <v>0</v>
      </c>
      <c r="T56" s="9">
        <f ca="1">TESORERIA1PERIODO!R5</f>
        <v>0</v>
      </c>
      <c r="U56" s="9">
        <f ca="1">TESORERIA1PERIODO!S5</f>
        <v>0</v>
      </c>
    </row>
    <row r="57" spans="1:21" ht="39.75" customHeight="1">
      <c r="A57" s="30"/>
      <c r="B57" s="35" t="s">
        <v>92</v>
      </c>
      <c r="C57" s="4" t="s">
        <v>93</v>
      </c>
      <c r="D57" s="9">
        <f ca="1">TESORERIA1PERIODO!B6</f>
        <v>1</v>
      </c>
      <c r="E57" s="9" t="str">
        <f ca="1">TESORERIA1PERIODO!C6</f>
        <v>CUENTAS</v>
      </c>
      <c r="F57" s="9" t="str">
        <f ca="1">TESORERIA1PERIODO!D6</f>
        <v>ASCENDENTE</v>
      </c>
      <c r="G57" s="9" t="str">
        <f ca="1">TESORERIA1PERIODO!E6</f>
        <v>BITACORA OPERATIVA</v>
      </c>
      <c r="H57" s="9">
        <f ca="1">TESORERIA1PERIODO!F6</f>
        <v>0</v>
      </c>
      <c r="I57" s="9">
        <f ca="1">TESORERIA1PERIODO!G6</f>
        <v>0</v>
      </c>
      <c r="J57" s="9">
        <f ca="1">TESORERIA1PERIODO!H6</f>
        <v>0</v>
      </c>
      <c r="K57" s="9">
        <f ca="1">TESORERIA1PERIODO!I6</f>
        <v>0</v>
      </c>
      <c r="L57" s="9">
        <f ca="1">TESORERIA1PERIODO!J6</f>
        <v>0</v>
      </c>
      <c r="M57" s="9">
        <f ca="1">TESORERIA1PERIODO!K6</f>
        <v>0</v>
      </c>
      <c r="N57" s="9">
        <f ca="1">TESORERIA1PERIODO!L6</f>
        <v>0</v>
      </c>
      <c r="O57" s="9">
        <f ca="1">TESORERIA1PERIODO!M6</f>
        <v>0</v>
      </c>
      <c r="P57" s="9">
        <f ca="1">TESORERIA1PERIODO!N6</f>
        <v>0</v>
      </c>
      <c r="Q57" s="9">
        <f ca="1">TESORERIA1PERIODO!O6</f>
        <v>0</v>
      </c>
      <c r="R57" s="9">
        <f ca="1">TESORERIA1PERIODO!P6</f>
        <v>0</v>
      </c>
      <c r="S57" s="9">
        <f ca="1">TESORERIA1PERIODO!Q6</f>
        <v>0</v>
      </c>
      <c r="T57" s="9">
        <f ca="1">TESORERIA1PERIODO!R6</f>
        <v>0</v>
      </c>
      <c r="U57" s="9">
        <f ca="1">TESORERIA1PERIODO!S6</f>
        <v>0</v>
      </c>
    </row>
    <row r="58" spans="1:21" ht="39.75" customHeight="1">
      <c r="A58" s="30"/>
      <c r="B58" s="30"/>
      <c r="C58" s="10" t="s">
        <v>94</v>
      </c>
      <c r="D58" s="9">
        <f ca="1">TESORERIA1PERIODO!B7</f>
        <v>1</v>
      </c>
      <c r="E58" s="9" t="str">
        <f ca="1">TESORERIA1PERIODO!C7</f>
        <v>AUDITORIAS</v>
      </c>
      <c r="F58" s="9" t="str">
        <f ca="1">TESORERIA1PERIODO!D7</f>
        <v>ASCENDENTE</v>
      </c>
      <c r="G58" s="9" t="str">
        <f ca="1">TESORERIA1PERIODO!E7</f>
        <v>BITACORA OPERATIVA</v>
      </c>
      <c r="H58" s="9">
        <f ca="1">TESORERIA1PERIODO!F7</f>
        <v>0</v>
      </c>
      <c r="I58" s="9">
        <f ca="1">TESORERIA1PERIODO!G7</f>
        <v>0</v>
      </c>
      <c r="J58" s="9">
        <f ca="1">TESORERIA1PERIODO!H7</f>
        <v>0</v>
      </c>
      <c r="K58" s="9">
        <f ca="1">TESORERIA1PERIODO!I7</f>
        <v>0</v>
      </c>
      <c r="L58" s="9">
        <f ca="1">TESORERIA1PERIODO!J7</f>
        <v>0</v>
      </c>
      <c r="M58" s="9">
        <f ca="1">TESORERIA1PERIODO!K7</f>
        <v>0</v>
      </c>
      <c r="N58" s="9">
        <f ca="1">TESORERIA1PERIODO!L7</f>
        <v>0</v>
      </c>
      <c r="O58" s="9">
        <f ca="1">TESORERIA1PERIODO!M7</f>
        <v>0</v>
      </c>
      <c r="P58" s="9">
        <f ca="1">TESORERIA1PERIODO!N7</f>
        <v>0</v>
      </c>
      <c r="Q58" s="9">
        <f ca="1">TESORERIA1PERIODO!O7</f>
        <v>0</v>
      </c>
      <c r="R58" s="9">
        <f ca="1">TESORERIA1PERIODO!P7</f>
        <v>0</v>
      </c>
      <c r="S58" s="9">
        <f ca="1">TESORERIA1PERIODO!Q7</f>
        <v>0</v>
      </c>
      <c r="T58" s="9">
        <f ca="1">TESORERIA1PERIODO!R7</f>
        <v>0</v>
      </c>
      <c r="U58" s="9">
        <f ca="1">TESORERIA1PERIODO!S7</f>
        <v>0</v>
      </c>
    </row>
    <row r="59" spans="1:21" ht="39.75" customHeight="1">
      <c r="A59" s="30"/>
      <c r="B59" s="30"/>
      <c r="C59" s="10" t="s">
        <v>95</v>
      </c>
      <c r="D59" s="9">
        <f ca="1">TESORERIA1PERIODO!B8</f>
        <v>1</v>
      </c>
      <c r="E59" s="9" t="str">
        <f ca="1">TESORERIA1PERIODO!C8</f>
        <v>AUDITORIAS INTERNAS</v>
      </c>
      <c r="F59" s="9" t="str">
        <f ca="1">TESORERIA1PERIODO!D8</f>
        <v>ASCENDENTE</v>
      </c>
      <c r="G59" s="9" t="str">
        <f ca="1">TESORERIA1PERIODO!E8</f>
        <v>BITACORA OPERATIVA</v>
      </c>
      <c r="H59" s="9">
        <f ca="1">TESORERIA1PERIODO!F8</f>
        <v>0</v>
      </c>
      <c r="I59" s="9">
        <f ca="1">TESORERIA1PERIODO!G8</f>
        <v>0</v>
      </c>
      <c r="J59" s="9">
        <f ca="1">TESORERIA1PERIODO!H8</f>
        <v>0</v>
      </c>
      <c r="K59" s="9">
        <f ca="1">TESORERIA1PERIODO!I8</f>
        <v>0</v>
      </c>
      <c r="L59" s="9">
        <f ca="1">TESORERIA1PERIODO!J8</f>
        <v>0</v>
      </c>
      <c r="M59" s="9">
        <f ca="1">TESORERIA1PERIODO!K8</f>
        <v>0</v>
      </c>
      <c r="N59" s="9">
        <f ca="1">TESORERIA1PERIODO!L8</f>
        <v>0</v>
      </c>
      <c r="O59" s="9">
        <f ca="1">TESORERIA1PERIODO!M8</f>
        <v>0</v>
      </c>
      <c r="P59" s="9">
        <f ca="1">TESORERIA1PERIODO!N8</f>
        <v>0</v>
      </c>
      <c r="Q59" s="9">
        <f ca="1">TESORERIA1PERIODO!O8</f>
        <v>0</v>
      </c>
      <c r="R59" s="9">
        <f ca="1">TESORERIA1PERIODO!P8</f>
        <v>0</v>
      </c>
      <c r="S59" s="9">
        <f ca="1">TESORERIA1PERIODO!Q8</f>
        <v>0</v>
      </c>
      <c r="T59" s="9">
        <f ca="1">TESORERIA1PERIODO!R8</f>
        <v>0</v>
      </c>
      <c r="U59" s="9">
        <f ca="1">TESORERIA1PERIODO!S8</f>
        <v>0</v>
      </c>
    </row>
    <row r="60" spans="1:21" ht="39.75" customHeight="1">
      <c r="A60" s="30"/>
      <c r="B60" s="30"/>
      <c r="C60" s="10" t="s">
        <v>96</v>
      </c>
      <c r="D60" s="9">
        <f ca="1">TESORERIA1PERIODO!B9</f>
        <v>1</v>
      </c>
      <c r="E60" s="9" t="str">
        <f ca="1">TESORERIA1PERIODO!C9</f>
        <v>AVANCE</v>
      </c>
      <c r="F60" s="9" t="str">
        <f ca="1">TESORERIA1PERIODO!D9</f>
        <v>ASCENDENTE</v>
      </c>
      <c r="G60" s="9" t="str">
        <f ca="1">TESORERIA1PERIODO!E9</f>
        <v>BITACORA OPERATIVA</v>
      </c>
      <c r="H60" s="9">
        <f ca="1">TESORERIA1PERIODO!F9</f>
        <v>0</v>
      </c>
      <c r="I60" s="9">
        <f ca="1">TESORERIA1PERIODO!G9</f>
        <v>0</v>
      </c>
      <c r="J60" s="9">
        <f ca="1">TESORERIA1PERIODO!H9</f>
        <v>0</v>
      </c>
      <c r="K60" s="9">
        <f ca="1">TESORERIA1PERIODO!I9</f>
        <v>0</v>
      </c>
      <c r="L60" s="9">
        <f ca="1">TESORERIA1PERIODO!J9</f>
        <v>0</v>
      </c>
      <c r="M60" s="9">
        <f ca="1">TESORERIA1PERIODO!K9</f>
        <v>0</v>
      </c>
      <c r="N60" s="9">
        <f ca="1">TESORERIA1PERIODO!L9</f>
        <v>0</v>
      </c>
      <c r="O60" s="9">
        <f ca="1">TESORERIA1PERIODO!M9</f>
        <v>0</v>
      </c>
      <c r="P60" s="9">
        <f ca="1">TESORERIA1PERIODO!N9</f>
        <v>0</v>
      </c>
      <c r="Q60" s="9">
        <f ca="1">TESORERIA1PERIODO!O9</f>
        <v>0</v>
      </c>
      <c r="R60" s="9">
        <f ca="1">TESORERIA1PERIODO!P9</f>
        <v>0</v>
      </c>
      <c r="S60" s="9">
        <f ca="1">TESORERIA1PERIODO!Q9</f>
        <v>0</v>
      </c>
      <c r="T60" s="9">
        <f ca="1">TESORERIA1PERIODO!R9</f>
        <v>0</v>
      </c>
      <c r="U60" s="9">
        <f ca="1">TESORERIA1PERIODO!S9</f>
        <v>0</v>
      </c>
    </row>
    <row r="61" spans="1:21" ht="39.75" customHeight="1">
      <c r="A61" s="30"/>
      <c r="B61" s="30"/>
      <c r="C61" s="10" t="s">
        <v>97</v>
      </c>
      <c r="D61" s="9">
        <f ca="1">TESORERIA1PERIODO!B10</f>
        <v>1</v>
      </c>
      <c r="E61" s="9" t="str">
        <f ca="1">TESORERIA1PERIODO!C10</f>
        <v>AVANCE</v>
      </c>
      <c r="F61" s="9" t="str">
        <f ca="1">TESORERIA1PERIODO!D10</f>
        <v>ASCENDENTE</v>
      </c>
      <c r="G61" s="9" t="str">
        <f ca="1">TESORERIA1PERIODO!E10</f>
        <v>BITACORA OPERATIVA</v>
      </c>
      <c r="H61" s="9">
        <f ca="1">TESORERIA1PERIODO!F10</f>
        <v>0</v>
      </c>
      <c r="I61" s="9">
        <f ca="1">TESORERIA1PERIODO!G10</f>
        <v>0</v>
      </c>
      <c r="J61" s="9">
        <f ca="1">TESORERIA1PERIODO!H10</f>
        <v>0</v>
      </c>
      <c r="K61" s="9">
        <f ca="1">TESORERIA1PERIODO!I10</f>
        <v>0</v>
      </c>
      <c r="L61" s="9">
        <f ca="1">TESORERIA1PERIODO!J10</f>
        <v>0</v>
      </c>
      <c r="M61" s="9">
        <f ca="1">TESORERIA1PERIODO!K10</f>
        <v>0</v>
      </c>
      <c r="N61" s="9">
        <f ca="1">TESORERIA1PERIODO!L10</f>
        <v>0</v>
      </c>
      <c r="O61" s="9">
        <f ca="1">TESORERIA1PERIODO!M10</f>
        <v>0</v>
      </c>
      <c r="P61" s="9">
        <f ca="1">TESORERIA1PERIODO!N10</f>
        <v>0</v>
      </c>
      <c r="Q61" s="9">
        <f ca="1">TESORERIA1PERIODO!O10</f>
        <v>0</v>
      </c>
      <c r="R61" s="9">
        <f ca="1">TESORERIA1PERIODO!P10</f>
        <v>0</v>
      </c>
      <c r="S61" s="9">
        <f ca="1">TESORERIA1PERIODO!Q10</f>
        <v>0</v>
      </c>
      <c r="T61" s="9">
        <f ca="1">TESORERIA1PERIODO!R10</f>
        <v>0</v>
      </c>
      <c r="U61" s="9">
        <f ca="1">TESORERIA1PERIODO!S10</f>
        <v>0</v>
      </c>
    </row>
    <row r="62" spans="1:21" ht="39.75" customHeight="1">
      <c r="A62" s="30"/>
      <c r="B62" s="31"/>
      <c r="C62" s="10" t="s">
        <v>98</v>
      </c>
      <c r="D62" s="9">
        <f ca="1">TESORERIA1PERIODO!B11</f>
        <v>1</v>
      </c>
      <c r="E62" s="9" t="str">
        <f ca="1">TESORERIA1PERIODO!C11</f>
        <v>AUDITORIAS FEDERALES</v>
      </c>
      <c r="F62" s="9" t="str">
        <f ca="1">TESORERIA1PERIODO!D11</f>
        <v>ASCENDENTE</v>
      </c>
      <c r="G62" s="9" t="str">
        <f ca="1">TESORERIA1PERIODO!E11</f>
        <v>BITACORA OPERATIVA</v>
      </c>
      <c r="H62" s="9">
        <f ca="1">TESORERIA1PERIODO!F11</f>
        <v>0</v>
      </c>
      <c r="I62" s="9">
        <f ca="1">TESORERIA1PERIODO!G11</f>
        <v>0</v>
      </c>
      <c r="J62" s="9">
        <f ca="1">TESORERIA1PERIODO!H11</f>
        <v>0</v>
      </c>
      <c r="K62" s="9">
        <f ca="1">TESORERIA1PERIODO!I11</f>
        <v>0</v>
      </c>
      <c r="L62" s="9">
        <f ca="1">TESORERIA1PERIODO!J11</f>
        <v>0</v>
      </c>
      <c r="M62" s="9">
        <f ca="1">TESORERIA1PERIODO!K11</f>
        <v>0</v>
      </c>
      <c r="N62" s="9">
        <f ca="1">TESORERIA1PERIODO!L11</f>
        <v>0</v>
      </c>
      <c r="O62" s="9">
        <f ca="1">TESORERIA1PERIODO!M11</f>
        <v>0</v>
      </c>
      <c r="P62" s="9">
        <f ca="1">TESORERIA1PERIODO!N11</f>
        <v>0</v>
      </c>
      <c r="Q62" s="9">
        <f ca="1">TESORERIA1PERIODO!O11</f>
        <v>0</v>
      </c>
      <c r="R62" s="9">
        <f ca="1">TESORERIA1PERIODO!P11</f>
        <v>0</v>
      </c>
      <c r="S62" s="9">
        <f ca="1">TESORERIA1PERIODO!Q11</f>
        <v>0</v>
      </c>
      <c r="T62" s="9">
        <f ca="1">TESORERIA1PERIODO!R11</f>
        <v>0</v>
      </c>
      <c r="U62" s="9">
        <f ca="1">TESORERIA1PERIODO!S11</f>
        <v>0</v>
      </c>
    </row>
    <row r="63" spans="1:21" ht="39.75" customHeight="1">
      <c r="A63" s="30"/>
      <c r="B63" s="35" t="s">
        <v>99</v>
      </c>
      <c r="C63" s="10" t="s">
        <v>100</v>
      </c>
      <c r="D63" s="9">
        <f ca="1">TESORERIA1PERIODO!B12</f>
        <v>1</v>
      </c>
      <c r="E63" s="9" t="str">
        <f ca="1">TESORERIA1PERIODO!C12</f>
        <v>NOTIFICACIONES</v>
      </c>
      <c r="F63" s="9" t="str">
        <f ca="1">TESORERIA1PERIODO!D12</f>
        <v>ASCENDENTE</v>
      </c>
      <c r="G63" s="9" t="str">
        <f ca="1">TESORERIA1PERIODO!E12</f>
        <v>BITACORA OPERATIVA</v>
      </c>
      <c r="H63" s="9">
        <f ca="1">TESORERIA1PERIODO!F12</f>
        <v>0</v>
      </c>
      <c r="I63" s="9">
        <f ca="1">TESORERIA1PERIODO!G12</f>
        <v>0</v>
      </c>
      <c r="J63" s="9">
        <f ca="1">TESORERIA1PERIODO!H12</f>
        <v>0</v>
      </c>
      <c r="K63" s="9">
        <f ca="1">TESORERIA1PERIODO!I12</f>
        <v>0</v>
      </c>
      <c r="L63" s="9">
        <f ca="1">TESORERIA1PERIODO!J12</f>
        <v>0</v>
      </c>
      <c r="M63" s="9">
        <f ca="1">TESORERIA1PERIODO!K12</f>
        <v>0</v>
      </c>
      <c r="N63" s="9">
        <f ca="1">TESORERIA1PERIODO!L12</f>
        <v>0</v>
      </c>
      <c r="O63" s="9">
        <f ca="1">TESORERIA1PERIODO!M12</f>
        <v>0</v>
      </c>
      <c r="P63" s="9">
        <f ca="1">TESORERIA1PERIODO!N12</f>
        <v>0</v>
      </c>
      <c r="Q63" s="9">
        <f ca="1">TESORERIA1PERIODO!O12</f>
        <v>0</v>
      </c>
      <c r="R63" s="9">
        <f ca="1">TESORERIA1PERIODO!P12</f>
        <v>0</v>
      </c>
      <c r="S63" s="9">
        <f ca="1">TESORERIA1PERIODO!Q12</f>
        <v>0</v>
      </c>
      <c r="T63" s="9">
        <f ca="1">TESORERIA1PERIODO!R12</f>
        <v>0</v>
      </c>
      <c r="U63" s="9">
        <f ca="1">TESORERIA1PERIODO!S12</f>
        <v>0</v>
      </c>
    </row>
    <row r="64" spans="1:21" ht="39.75" customHeight="1">
      <c r="A64" s="30"/>
      <c r="B64" s="30"/>
      <c r="C64" s="10" t="s">
        <v>101</v>
      </c>
      <c r="D64" s="9">
        <f ca="1">TESORERIA1PERIODO!B13</f>
        <v>1</v>
      </c>
      <c r="E64" s="9" t="str">
        <f ca="1">TESORERIA1PERIODO!C13</f>
        <v>NOTIFICACIONES</v>
      </c>
      <c r="F64" s="9" t="str">
        <f ca="1">TESORERIA1PERIODO!D13</f>
        <v>ASCENDENTE</v>
      </c>
      <c r="G64" s="9" t="str">
        <f ca="1">TESORERIA1PERIODO!E13</f>
        <v>BITACORA OPERATIVA</v>
      </c>
      <c r="H64" s="9">
        <f ca="1">TESORERIA1PERIODO!F13</f>
        <v>0</v>
      </c>
      <c r="I64" s="9">
        <f ca="1">TESORERIA1PERIODO!G13</f>
        <v>0</v>
      </c>
      <c r="J64" s="9">
        <f ca="1">TESORERIA1PERIODO!H13</f>
        <v>0</v>
      </c>
      <c r="K64" s="9">
        <f ca="1">TESORERIA1PERIODO!I13</f>
        <v>0</v>
      </c>
      <c r="L64" s="9">
        <f ca="1">TESORERIA1PERIODO!J13</f>
        <v>0</v>
      </c>
      <c r="M64" s="9">
        <f ca="1">TESORERIA1PERIODO!K13</f>
        <v>0</v>
      </c>
      <c r="N64" s="9">
        <f ca="1">TESORERIA1PERIODO!L13</f>
        <v>0</v>
      </c>
      <c r="O64" s="9">
        <f ca="1">TESORERIA1PERIODO!M13</f>
        <v>0</v>
      </c>
      <c r="P64" s="9">
        <f ca="1">TESORERIA1PERIODO!N13</f>
        <v>0</v>
      </c>
      <c r="Q64" s="9">
        <f ca="1">TESORERIA1PERIODO!O13</f>
        <v>0</v>
      </c>
      <c r="R64" s="9">
        <f ca="1">TESORERIA1PERIODO!P13</f>
        <v>0</v>
      </c>
      <c r="S64" s="9">
        <f ca="1">TESORERIA1PERIODO!Q13</f>
        <v>0</v>
      </c>
      <c r="T64" s="9">
        <f ca="1">TESORERIA1PERIODO!R13</f>
        <v>0</v>
      </c>
      <c r="U64" s="9">
        <f ca="1">TESORERIA1PERIODO!S13</f>
        <v>0</v>
      </c>
    </row>
    <row r="65" spans="1:21" ht="39.75" customHeight="1">
      <c r="A65" s="30"/>
      <c r="B65" s="30"/>
      <c r="C65" s="10" t="s">
        <v>102</v>
      </c>
      <c r="D65" s="9">
        <f ca="1">TESORERIA1PERIODO!B14</f>
        <v>1</v>
      </c>
      <c r="E65" s="9" t="str">
        <f ca="1">TESORERIA1PERIODO!C14</f>
        <v xml:space="preserve">TOMAS CLANDESTINAS </v>
      </c>
      <c r="F65" s="9" t="str">
        <f ca="1">TESORERIA1PERIODO!D14</f>
        <v>ASCENDENTE</v>
      </c>
      <c r="G65" s="9" t="str">
        <f ca="1">TESORERIA1PERIODO!E14</f>
        <v>BITACORA OPERATIVA</v>
      </c>
      <c r="H65" s="9">
        <f ca="1">TESORERIA1PERIODO!F14</f>
        <v>0</v>
      </c>
      <c r="I65" s="9">
        <f ca="1">TESORERIA1PERIODO!G14</f>
        <v>0</v>
      </c>
      <c r="J65" s="9">
        <f ca="1">TESORERIA1PERIODO!H14</f>
        <v>0</v>
      </c>
      <c r="K65" s="9">
        <f ca="1">TESORERIA1PERIODO!I14</f>
        <v>0</v>
      </c>
      <c r="L65" s="9">
        <f ca="1">TESORERIA1PERIODO!J14</f>
        <v>0</v>
      </c>
      <c r="M65" s="9">
        <f ca="1">TESORERIA1PERIODO!K14</f>
        <v>0</v>
      </c>
      <c r="N65" s="9">
        <f ca="1">TESORERIA1PERIODO!L14</f>
        <v>0</v>
      </c>
      <c r="O65" s="9">
        <f ca="1">TESORERIA1PERIODO!M14</f>
        <v>0</v>
      </c>
      <c r="P65" s="9">
        <f ca="1">TESORERIA1PERIODO!N14</f>
        <v>0</v>
      </c>
      <c r="Q65" s="9">
        <f ca="1">TESORERIA1PERIODO!O14</f>
        <v>0</v>
      </c>
      <c r="R65" s="9">
        <f ca="1">TESORERIA1PERIODO!P14</f>
        <v>0</v>
      </c>
      <c r="S65" s="9">
        <f ca="1">TESORERIA1PERIODO!Q14</f>
        <v>0</v>
      </c>
      <c r="T65" s="9">
        <f ca="1">TESORERIA1PERIODO!R14</f>
        <v>0</v>
      </c>
      <c r="U65" s="9">
        <f ca="1">TESORERIA1PERIODO!S14</f>
        <v>0</v>
      </c>
    </row>
    <row r="66" spans="1:21" ht="39.75" customHeight="1">
      <c r="A66" s="30"/>
      <c r="B66" s="31"/>
      <c r="C66" s="10" t="s">
        <v>103</v>
      </c>
      <c r="D66" s="9">
        <f ca="1">TESORERIA1PERIODO!B15</f>
        <v>1</v>
      </c>
      <c r="E66" s="9" t="str">
        <f ca="1">TESORERIA1PERIODO!C15</f>
        <v>INVITACIONES</v>
      </c>
      <c r="F66" s="9" t="str">
        <f ca="1">TESORERIA1PERIODO!D15</f>
        <v>ASCENDENTE</v>
      </c>
      <c r="G66" s="9" t="str">
        <f ca="1">TESORERIA1PERIODO!E15</f>
        <v>BITACORA OPERATIVA</v>
      </c>
      <c r="H66" s="9">
        <f ca="1">TESORERIA1PERIODO!F15</f>
        <v>0</v>
      </c>
      <c r="I66" s="9">
        <f ca="1">TESORERIA1PERIODO!G15</f>
        <v>0</v>
      </c>
      <c r="J66" s="9">
        <f ca="1">TESORERIA1PERIODO!H15</f>
        <v>0</v>
      </c>
      <c r="K66" s="9">
        <f ca="1">TESORERIA1PERIODO!I15</f>
        <v>0</v>
      </c>
      <c r="L66" s="9">
        <f ca="1">TESORERIA1PERIODO!J15</f>
        <v>0</v>
      </c>
      <c r="M66" s="9">
        <f ca="1">TESORERIA1PERIODO!K15</f>
        <v>0</v>
      </c>
      <c r="N66" s="9">
        <f ca="1">TESORERIA1PERIODO!L15</f>
        <v>0</v>
      </c>
      <c r="O66" s="9">
        <f ca="1">TESORERIA1PERIODO!M15</f>
        <v>0</v>
      </c>
      <c r="P66" s="9">
        <f ca="1">TESORERIA1PERIODO!N15</f>
        <v>0</v>
      </c>
      <c r="Q66" s="9">
        <f ca="1">TESORERIA1PERIODO!O15</f>
        <v>0</v>
      </c>
      <c r="R66" s="9">
        <f ca="1">TESORERIA1PERIODO!P15</f>
        <v>0</v>
      </c>
      <c r="S66" s="9">
        <f ca="1">TESORERIA1PERIODO!Q15</f>
        <v>0</v>
      </c>
      <c r="T66" s="9">
        <f ca="1">TESORERIA1PERIODO!R15</f>
        <v>0</v>
      </c>
      <c r="U66" s="9">
        <f ca="1">TESORERIA1PERIODO!S15</f>
        <v>0</v>
      </c>
    </row>
    <row r="67" spans="1:21" ht="39.75" customHeight="1">
      <c r="A67" s="30"/>
      <c r="B67" s="11" t="s">
        <v>104</v>
      </c>
      <c r="C67" s="10" t="s">
        <v>105</v>
      </c>
      <c r="D67" s="9">
        <f ca="1">TESORERIA1PERIODO!B16</f>
        <v>1</v>
      </c>
      <c r="E67" s="9" t="str">
        <f ca="1">TESORERIA1PERIODO!C16</f>
        <v>SOPORTES</v>
      </c>
      <c r="F67" s="9" t="str">
        <f ca="1">TESORERIA1PERIODO!D16</f>
        <v>ASCENDENTE</v>
      </c>
      <c r="G67" s="9" t="str">
        <f ca="1">TESORERIA1PERIODO!E16</f>
        <v>BITACORA OPERATIVA</v>
      </c>
      <c r="H67" s="9">
        <f ca="1">TESORERIA1PERIODO!F16</f>
        <v>0</v>
      </c>
      <c r="I67" s="9">
        <f ca="1">TESORERIA1PERIODO!G16</f>
        <v>0</v>
      </c>
      <c r="J67" s="9">
        <f ca="1">TESORERIA1PERIODO!H16</f>
        <v>0</v>
      </c>
      <c r="K67" s="9">
        <f ca="1">TESORERIA1PERIODO!I16</f>
        <v>0</v>
      </c>
      <c r="L67" s="9">
        <f ca="1">TESORERIA1PERIODO!J16</f>
        <v>0</v>
      </c>
      <c r="M67" s="9">
        <f ca="1">TESORERIA1PERIODO!K16</f>
        <v>0</v>
      </c>
      <c r="N67" s="9">
        <f ca="1">TESORERIA1PERIODO!L16</f>
        <v>0</v>
      </c>
      <c r="O67" s="9">
        <f ca="1">TESORERIA1PERIODO!M16</f>
        <v>0</v>
      </c>
      <c r="P67" s="9">
        <f ca="1">TESORERIA1PERIODO!N16</f>
        <v>0</v>
      </c>
      <c r="Q67" s="9">
        <f ca="1">TESORERIA1PERIODO!O16</f>
        <v>0</v>
      </c>
      <c r="R67" s="9">
        <f ca="1">TESORERIA1PERIODO!P16</f>
        <v>0</v>
      </c>
      <c r="S67" s="9">
        <f ca="1">TESORERIA1PERIODO!Q16</f>
        <v>0</v>
      </c>
      <c r="T67" s="9">
        <f ca="1">TESORERIA1PERIODO!R16</f>
        <v>0</v>
      </c>
      <c r="U67" s="9">
        <f ca="1">TESORERIA1PERIODO!S16</f>
        <v>0</v>
      </c>
    </row>
    <row r="68" spans="1:21" ht="39.75" customHeight="1">
      <c r="A68" s="30"/>
      <c r="B68" s="35" t="s">
        <v>106</v>
      </c>
      <c r="C68" s="10" t="s">
        <v>107</v>
      </c>
      <c r="D68" s="9">
        <f ca="1">TESORERIA1PERIODO!B17</f>
        <v>1</v>
      </c>
      <c r="E68" s="9" t="str">
        <f ca="1">TESORERIA1PERIODO!C17</f>
        <v>NUEVAS LICENCIAS</v>
      </c>
      <c r="F68" s="9" t="str">
        <f ca="1">TESORERIA1PERIODO!D17</f>
        <v>ASCENDENTE</v>
      </c>
      <c r="G68" s="9" t="str">
        <f ca="1">TESORERIA1PERIODO!E17</f>
        <v>BITACORA OPERATIVA</v>
      </c>
      <c r="H68" s="9">
        <f ca="1">TESORERIA1PERIODO!F17</f>
        <v>0</v>
      </c>
      <c r="I68" s="9">
        <f ca="1">TESORERIA1PERIODO!G17</f>
        <v>0</v>
      </c>
      <c r="J68" s="9">
        <f ca="1">TESORERIA1PERIODO!H17</f>
        <v>0</v>
      </c>
      <c r="K68" s="9">
        <f ca="1">TESORERIA1PERIODO!I17</f>
        <v>0</v>
      </c>
      <c r="L68" s="9">
        <f ca="1">TESORERIA1PERIODO!J17</f>
        <v>69</v>
      </c>
      <c r="M68" s="9">
        <f ca="1">TESORERIA1PERIODO!K17</f>
        <v>0</v>
      </c>
      <c r="N68" s="9">
        <f ca="1">TESORERIA1PERIODO!L17</f>
        <v>0</v>
      </c>
      <c r="O68" s="9">
        <f ca="1">TESORERIA1PERIODO!M17</f>
        <v>0</v>
      </c>
      <c r="P68" s="9">
        <f ca="1">TESORERIA1PERIODO!N17</f>
        <v>0</v>
      </c>
      <c r="Q68" s="9">
        <f ca="1">TESORERIA1PERIODO!O17</f>
        <v>0</v>
      </c>
      <c r="R68" s="9">
        <f ca="1">TESORERIA1PERIODO!P17</f>
        <v>0</v>
      </c>
      <c r="S68" s="9">
        <f ca="1">TESORERIA1PERIODO!Q17</f>
        <v>0</v>
      </c>
      <c r="T68" s="9">
        <f ca="1">TESORERIA1PERIODO!R17</f>
        <v>0</v>
      </c>
      <c r="U68" s="9">
        <f ca="1">TESORERIA1PERIODO!S17</f>
        <v>69</v>
      </c>
    </row>
    <row r="69" spans="1:21" ht="39.75" customHeight="1">
      <c r="A69" s="30"/>
      <c r="B69" s="30"/>
      <c r="C69" s="10" t="s">
        <v>108</v>
      </c>
      <c r="D69" s="9">
        <f ca="1">TESORERIA1PERIODO!B18</f>
        <v>1</v>
      </c>
      <c r="E69" s="9" t="str">
        <f ca="1">TESORERIA1PERIODO!C18</f>
        <v>REFRENDOS</v>
      </c>
      <c r="F69" s="9" t="str">
        <f ca="1">TESORERIA1PERIODO!D18</f>
        <v>ASCENDENTE</v>
      </c>
      <c r="G69" s="9" t="str">
        <f ca="1">TESORERIA1PERIODO!E18</f>
        <v>BITACORA OPERATIVA</v>
      </c>
      <c r="H69" s="9">
        <f ca="1">TESORERIA1PERIODO!F18</f>
        <v>0</v>
      </c>
      <c r="I69" s="9">
        <f ca="1">TESORERIA1PERIODO!G18</f>
        <v>0</v>
      </c>
      <c r="J69" s="9">
        <f ca="1">TESORERIA1PERIODO!H18</f>
        <v>0</v>
      </c>
      <c r="K69" s="9">
        <f ca="1">TESORERIA1PERIODO!I18</f>
        <v>0</v>
      </c>
      <c r="L69" s="9">
        <f ca="1">TESORERIA1PERIODO!J18</f>
        <v>68</v>
      </c>
      <c r="M69" s="9">
        <f ca="1">TESORERIA1PERIODO!K18</f>
        <v>0</v>
      </c>
      <c r="N69" s="9">
        <f ca="1">TESORERIA1PERIODO!L18</f>
        <v>0</v>
      </c>
      <c r="O69" s="9">
        <f ca="1">TESORERIA1PERIODO!M18</f>
        <v>0</v>
      </c>
      <c r="P69" s="9">
        <f ca="1">TESORERIA1PERIODO!N18</f>
        <v>0</v>
      </c>
      <c r="Q69" s="9">
        <f ca="1">TESORERIA1PERIODO!O18</f>
        <v>0</v>
      </c>
      <c r="R69" s="9">
        <f ca="1">TESORERIA1PERIODO!P18</f>
        <v>0</v>
      </c>
      <c r="S69" s="9">
        <f ca="1">TESORERIA1PERIODO!Q18</f>
        <v>0</v>
      </c>
      <c r="T69" s="9">
        <f ca="1">TESORERIA1PERIODO!R18</f>
        <v>0</v>
      </c>
      <c r="U69" s="9">
        <f ca="1">TESORERIA1PERIODO!S18</f>
        <v>68</v>
      </c>
    </row>
    <row r="70" spans="1:21" ht="39.75" customHeight="1">
      <c r="A70" s="30"/>
      <c r="B70" s="30"/>
      <c r="C70" s="10" t="s">
        <v>57</v>
      </c>
      <c r="D70" s="9">
        <f ca="1">TESORERIA1PERIODO!B19</f>
        <v>1</v>
      </c>
      <c r="E70" s="9" t="str">
        <f ca="1">TESORERIA1PERIODO!C19</f>
        <v>CAMBIOS</v>
      </c>
      <c r="F70" s="9" t="str">
        <f ca="1">TESORERIA1PERIODO!D19</f>
        <v>ASCENDENTE</v>
      </c>
      <c r="G70" s="9" t="str">
        <f ca="1">TESORERIA1PERIODO!E19</f>
        <v>BITACORA OPERATIVA</v>
      </c>
      <c r="H70" s="9">
        <f ca="1">TESORERIA1PERIODO!F19</f>
        <v>0</v>
      </c>
      <c r="I70" s="9">
        <f ca="1">TESORERIA1PERIODO!G19</f>
        <v>0</v>
      </c>
      <c r="J70" s="9">
        <f ca="1">TESORERIA1PERIODO!H19</f>
        <v>0</v>
      </c>
      <c r="K70" s="9">
        <f ca="1">TESORERIA1PERIODO!I19</f>
        <v>0</v>
      </c>
      <c r="L70" s="9">
        <f ca="1">TESORERIA1PERIODO!J19</f>
        <v>58</v>
      </c>
      <c r="M70" s="9">
        <f ca="1">TESORERIA1PERIODO!K19</f>
        <v>0</v>
      </c>
      <c r="N70" s="9">
        <f ca="1">TESORERIA1PERIODO!L19</f>
        <v>0</v>
      </c>
      <c r="O70" s="9">
        <f ca="1">TESORERIA1PERIODO!M19</f>
        <v>0</v>
      </c>
      <c r="P70" s="9">
        <f ca="1">TESORERIA1PERIODO!N19</f>
        <v>0</v>
      </c>
      <c r="Q70" s="9">
        <f ca="1">TESORERIA1PERIODO!O19</f>
        <v>0</v>
      </c>
      <c r="R70" s="9">
        <f ca="1">TESORERIA1PERIODO!P19</f>
        <v>0</v>
      </c>
      <c r="S70" s="9">
        <f ca="1">TESORERIA1PERIODO!Q19</f>
        <v>0</v>
      </c>
      <c r="T70" s="9">
        <f ca="1">TESORERIA1PERIODO!R19</f>
        <v>0</v>
      </c>
      <c r="U70" s="9">
        <f ca="1">TESORERIA1PERIODO!S19</f>
        <v>58</v>
      </c>
    </row>
    <row r="71" spans="1:21" ht="39.75" customHeight="1">
      <c r="A71" s="30"/>
      <c r="B71" s="30"/>
      <c r="C71" s="10" t="s">
        <v>109</v>
      </c>
      <c r="D71" s="9">
        <f ca="1">TESORERIA1PERIODO!B20</f>
        <v>1</v>
      </c>
      <c r="E71" s="9" t="str">
        <f ca="1">TESORERIA1PERIODO!C20</f>
        <v>CAMBIOS</v>
      </c>
      <c r="F71" s="9" t="str">
        <f ca="1">TESORERIA1PERIODO!D20</f>
        <v>ASCENDENTE</v>
      </c>
      <c r="G71" s="9" t="str">
        <f ca="1">TESORERIA1PERIODO!E20</f>
        <v>BITACORA OPERATIVA</v>
      </c>
      <c r="H71" s="9">
        <f ca="1">TESORERIA1PERIODO!F20</f>
        <v>0</v>
      </c>
      <c r="I71" s="9">
        <f ca="1">TESORERIA1PERIODO!G20</f>
        <v>0</v>
      </c>
      <c r="J71" s="9">
        <f ca="1">TESORERIA1PERIODO!H20</f>
        <v>0</v>
      </c>
      <c r="K71" s="9">
        <f ca="1">TESORERIA1PERIODO!I20</f>
        <v>0</v>
      </c>
      <c r="L71" s="9">
        <f ca="1">TESORERIA1PERIODO!J20</f>
        <v>58</v>
      </c>
      <c r="M71" s="9">
        <f ca="1">TESORERIA1PERIODO!K20</f>
        <v>0</v>
      </c>
      <c r="N71" s="9">
        <f ca="1">TESORERIA1PERIODO!L20</f>
        <v>0</v>
      </c>
      <c r="O71" s="9">
        <f ca="1">TESORERIA1PERIODO!M20</f>
        <v>0</v>
      </c>
      <c r="P71" s="9">
        <f ca="1">TESORERIA1PERIODO!N20</f>
        <v>0</v>
      </c>
      <c r="Q71" s="9">
        <f ca="1">TESORERIA1PERIODO!O20</f>
        <v>0</v>
      </c>
      <c r="R71" s="9">
        <f ca="1">TESORERIA1PERIODO!P20</f>
        <v>0</v>
      </c>
      <c r="S71" s="9">
        <f ca="1">TESORERIA1PERIODO!Q20</f>
        <v>0</v>
      </c>
      <c r="T71" s="9">
        <f ca="1">TESORERIA1PERIODO!R20</f>
        <v>0</v>
      </c>
      <c r="U71" s="9">
        <f ca="1">TESORERIA1PERIODO!S20</f>
        <v>58</v>
      </c>
    </row>
    <row r="72" spans="1:21" ht="39.75" customHeight="1">
      <c r="A72" s="30"/>
      <c r="B72" s="30"/>
      <c r="C72" s="10" t="s">
        <v>110</v>
      </c>
      <c r="D72" s="9">
        <f ca="1">TESORERIA1PERIODO!B21</f>
        <v>1</v>
      </c>
      <c r="E72" s="9" t="str">
        <f ca="1">TESORERIA1PERIODO!C21</f>
        <v>NUEVAS LICENCIAS</v>
      </c>
      <c r="F72" s="9" t="str">
        <f ca="1">TESORERIA1PERIODO!D21</f>
        <v>ASCENDENTE</v>
      </c>
      <c r="G72" s="9" t="str">
        <f ca="1">TESORERIA1PERIODO!E21</f>
        <v>BITACORA OPERATIVA</v>
      </c>
      <c r="H72" s="9">
        <f ca="1">TESORERIA1PERIODO!F21</f>
        <v>0</v>
      </c>
      <c r="I72" s="9">
        <f ca="1">TESORERIA1PERIODO!G21</f>
        <v>0</v>
      </c>
      <c r="J72" s="9">
        <f ca="1">TESORERIA1PERIODO!H21</f>
        <v>0</v>
      </c>
      <c r="K72" s="9">
        <f ca="1">TESORERIA1PERIODO!I21</f>
        <v>0</v>
      </c>
      <c r="L72" s="9">
        <f ca="1">TESORERIA1PERIODO!J21</f>
        <v>0</v>
      </c>
      <c r="M72" s="9">
        <f ca="1">TESORERIA1PERIODO!K21</f>
        <v>0</v>
      </c>
      <c r="N72" s="9">
        <f ca="1">TESORERIA1PERIODO!L21</f>
        <v>0</v>
      </c>
      <c r="O72" s="9">
        <f ca="1">TESORERIA1PERIODO!M21</f>
        <v>0</v>
      </c>
      <c r="P72" s="9">
        <f ca="1">TESORERIA1PERIODO!N21</f>
        <v>0</v>
      </c>
      <c r="Q72" s="9">
        <f ca="1">TESORERIA1PERIODO!O21</f>
        <v>0</v>
      </c>
      <c r="R72" s="9">
        <f ca="1">TESORERIA1PERIODO!P21</f>
        <v>0</v>
      </c>
      <c r="S72" s="9">
        <f ca="1">TESORERIA1PERIODO!Q21</f>
        <v>0</v>
      </c>
      <c r="T72" s="9">
        <f ca="1">TESORERIA1PERIODO!R21</f>
        <v>0</v>
      </c>
      <c r="U72" s="9">
        <f ca="1">TESORERIA1PERIODO!S21</f>
        <v>0</v>
      </c>
    </row>
    <row r="73" spans="1:21" ht="39.75" customHeight="1">
      <c r="A73" s="30"/>
      <c r="B73" s="30"/>
      <c r="C73" s="10" t="s">
        <v>111</v>
      </c>
      <c r="D73" s="9">
        <f ca="1">TESORERIA1PERIODO!B22</f>
        <v>1</v>
      </c>
      <c r="E73" s="9" t="str">
        <f ca="1">TESORERIA1PERIODO!C22</f>
        <v>REFRENDOS</v>
      </c>
      <c r="F73" s="9" t="str">
        <f ca="1">TESORERIA1PERIODO!D22</f>
        <v>ASCENDENTE</v>
      </c>
      <c r="G73" s="9" t="str">
        <f ca="1">TESORERIA1PERIODO!E22</f>
        <v>BITACORA OPERATIVA</v>
      </c>
      <c r="H73" s="9">
        <f ca="1">TESORERIA1PERIODO!F22</f>
        <v>0</v>
      </c>
      <c r="I73" s="9">
        <f ca="1">TESORERIA1PERIODO!G22</f>
        <v>0</v>
      </c>
      <c r="J73" s="9">
        <f ca="1">TESORERIA1PERIODO!H22</f>
        <v>0</v>
      </c>
      <c r="K73" s="9">
        <f ca="1">TESORERIA1PERIODO!I22</f>
        <v>0</v>
      </c>
      <c r="L73" s="9">
        <f ca="1">TESORERIA1PERIODO!J22</f>
        <v>23</v>
      </c>
      <c r="M73" s="9">
        <f ca="1">TESORERIA1PERIODO!K22</f>
        <v>0</v>
      </c>
      <c r="N73" s="9">
        <f ca="1">TESORERIA1PERIODO!L22</f>
        <v>0</v>
      </c>
      <c r="O73" s="9">
        <f ca="1">TESORERIA1PERIODO!M22</f>
        <v>0</v>
      </c>
      <c r="P73" s="9">
        <f ca="1">TESORERIA1PERIODO!N22</f>
        <v>0</v>
      </c>
      <c r="Q73" s="9">
        <f ca="1">TESORERIA1PERIODO!O22</f>
        <v>0</v>
      </c>
      <c r="R73" s="9">
        <f ca="1">TESORERIA1PERIODO!P22</f>
        <v>0</v>
      </c>
      <c r="S73" s="9">
        <f ca="1">TESORERIA1PERIODO!Q22</f>
        <v>0</v>
      </c>
      <c r="T73" s="9">
        <f ca="1">TESORERIA1PERIODO!R22</f>
        <v>0</v>
      </c>
      <c r="U73" s="9">
        <f ca="1">TESORERIA1PERIODO!S22</f>
        <v>23</v>
      </c>
    </row>
    <row r="74" spans="1:21" ht="39.75" customHeight="1">
      <c r="A74" s="30"/>
      <c r="B74" s="30"/>
      <c r="C74" s="10" t="s">
        <v>112</v>
      </c>
      <c r="D74" s="9">
        <f ca="1">TESORERIA1PERIODO!B23</f>
        <v>1</v>
      </c>
      <c r="E74" s="9" t="str">
        <f ca="1">TESORERIA1PERIODO!C23</f>
        <v>CAMBIOS</v>
      </c>
      <c r="F74" s="9" t="str">
        <f ca="1">TESORERIA1PERIODO!D23</f>
        <v>ASCENDENTE</v>
      </c>
      <c r="G74" s="9" t="str">
        <f ca="1">TESORERIA1PERIODO!E23</f>
        <v>BITACORA OPERATIVA</v>
      </c>
      <c r="H74" s="9">
        <f ca="1">TESORERIA1PERIODO!F23</f>
        <v>0</v>
      </c>
      <c r="I74" s="9">
        <f ca="1">TESORERIA1PERIODO!G23</f>
        <v>0</v>
      </c>
      <c r="J74" s="9">
        <f ca="1">TESORERIA1PERIODO!H23</f>
        <v>0</v>
      </c>
      <c r="K74" s="9">
        <f ca="1">TESORERIA1PERIODO!I23</f>
        <v>0</v>
      </c>
      <c r="L74" s="9">
        <f ca="1">TESORERIA1PERIODO!J23</f>
        <v>103</v>
      </c>
      <c r="M74" s="9">
        <f ca="1">TESORERIA1PERIODO!K23</f>
        <v>0</v>
      </c>
      <c r="N74" s="9">
        <f ca="1">TESORERIA1PERIODO!L23</f>
        <v>0</v>
      </c>
      <c r="O74" s="9">
        <f ca="1">TESORERIA1PERIODO!M23</f>
        <v>0</v>
      </c>
      <c r="P74" s="9">
        <f ca="1">TESORERIA1PERIODO!N23</f>
        <v>0</v>
      </c>
      <c r="Q74" s="9">
        <f ca="1">TESORERIA1PERIODO!O23</f>
        <v>0</v>
      </c>
      <c r="R74" s="9">
        <f ca="1">TESORERIA1PERIODO!P23</f>
        <v>0</v>
      </c>
      <c r="S74" s="9">
        <f ca="1">TESORERIA1PERIODO!Q23</f>
        <v>0</v>
      </c>
      <c r="T74" s="9">
        <f ca="1">TESORERIA1PERIODO!R23</f>
        <v>0</v>
      </c>
      <c r="U74" s="9">
        <f ca="1">TESORERIA1PERIODO!S23</f>
        <v>103</v>
      </c>
    </row>
    <row r="75" spans="1:21" ht="39.75" customHeight="1">
      <c r="A75" s="30"/>
      <c r="B75" s="30"/>
      <c r="C75" s="10" t="s">
        <v>113</v>
      </c>
      <c r="D75" s="9">
        <f ca="1">TESORERIA1PERIODO!B24</f>
        <v>1</v>
      </c>
      <c r="E75" s="9" t="str">
        <f ca="1">TESORERIA1PERIODO!C24</f>
        <v>COMERCIOS AMBULANTES</v>
      </c>
      <c r="F75" s="9" t="str">
        <f ca="1">TESORERIA1PERIODO!D24</f>
        <v>ASCENDENTE</v>
      </c>
      <c r="G75" s="9" t="str">
        <f ca="1">TESORERIA1PERIODO!E24</f>
        <v>BITACORA OPERATIVA</v>
      </c>
      <c r="H75" s="9">
        <f ca="1">TESORERIA1PERIODO!F24</f>
        <v>0</v>
      </c>
      <c r="I75" s="9">
        <f ca="1">TESORERIA1PERIODO!G24</f>
        <v>0</v>
      </c>
      <c r="J75" s="9">
        <f ca="1">TESORERIA1PERIODO!H24</f>
        <v>0</v>
      </c>
      <c r="K75" s="9">
        <f ca="1">TESORERIA1PERIODO!I24</f>
        <v>0</v>
      </c>
      <c r="L75" s="9">
        <f ca="1">TESORERIA1PERIODO!J24</f>
        <v>112</v>
      </c>
      <c r="M75" s="9">
        <f ca="1">TESORERIA1PERIODO!K24</f>
        <v>0</v>
      </c>
      <c r="N75" s="9">
        <f ca="1">TESORERIA1PERIODO!L24</f>
        <v>0</v>
      </c>
      <c r="O75" s="9">
        <f ca="1">TESORERIA1PERIODO!M24</f>
        <v>0</v>
      </c>
      <c r="P75" s="9">
        <f ca="1">TESORERIA1PERIODO!N24</f>
        <v>0</v>
      </c>
      <c r="Q75" s="9">
        <f ca="1">TESORERIA1PERIODO!O24</f>
        <v>0</v>
      </c>
      <c r="R75" s="9">
        <f ca="1">TESORERIA1PERIODO!P24</f>
        <v>0</v>
      </c>
      <c r="S75" s="9">
        <f ca="1">TESORERIA1PERIODO!Q24</f>
        <v>0</v>
      </c>
      <c r="T75" s="9">
        <f ca="1">TESORERIA1PERIODO!R24</f>
        <v>0</v>
      </c>
      <c r="U75" s="9">
        <f ca="1">TESORERIA1PERIODO!S24</f>
        <v>112</v>
      </c>
    </row>
    <row r="76" spans="1:21" ht="39.75" customHeight="1">
      <c r="A76" s="30"/>
      <c r="B76" s="30"/>
      <c r="C76" s="10" t="s">
        <v>114</v>
      </c>
      <c r="D76" s="9">
        <f ca="1">TESORERIA1PERIODO!B25</f>
        <v>1</v>
      </c>
      <c r="E76" s="9" t="str">
        <f ca="1">TESORERIA1PERIODO!C25</f>
        <v>ESPACIOS</v>
      </c>
      <c r="F76" s="9" t="str">
        <f ca="1">TESORERIA1PERIODO!D25</f>
        <v>ASCENDENTE</v>
      </c>
      <c r="G76" s="9" t="str">
        <f ca="1">TESORERIA1PERIODO!E25</f>
        <v>BITACORA OPERATIVA</v>
      </c>
      <c r="H76" s="9">
        <f ca="1">TESORERIA1PERIODO!F25</f>
        <v>0</v>
      </c>
      <c r="I76" s="9">
        <f ca="1">TESORERIA1PERIODO!G25</f>
        <v>0</v>
      </c>
      <c r="J76" s="9">
        <f ca="1">TESORERIA1PERIODO!H25</f>
        <v>0</v>
      </c>
      <c r="K76" s="9">
        <f ca="1">TESORERIA1PERIODO!I25</f>
        <v>0</v>
      </c>
      <c r="L76" s="9">
        <f ca="1">TESORERIA1PERIODO!J25</f>
        <v>2</v>
      </c>
      <c r="M76" s="9">
        <f ca="1">TESORERIA1PERIODO!K25</f>
        <v>0</v>
      </c>
      <c r="N76" s="9">
        <f ca="1">TESORERIA1PERIODO!L25</f>
        <v>0</v>
      </c>
      <c r="O76" s="9">
        <f ca="1">TESORERIA1PERIODO!M25</f>
        <v>0</v>
      </c>
      <c r="P76" s="9">
        <f ca="1">TESORERIA1PERIODO!N25</f>
        <v>0</v>
      </c>
      <c r="Q76" s="9">
        <f ca="1">TESORERIA1PERIODO!O25</f>
        <v>0</v>
      </c>
      <c r="R76" s="9">
        <f ca="1">TESORERIA1PERIODO!P25</f>
        <v>0</v>
      </c>
      <c r="S76" s="9">
        <f ca="1">TESORERIA1PERIODO!Q25</f>
        <v>0</v>
      </c>
      <c r="T76" s="9">
        <f ca="1">TESORERIA1PERIODO!R25</f>
        <v>0</v>
      </c>
      <c r="U76" s="9">
        <f ca="1">TESORERIA1PERIODO!S25</f>
        <v>2</v>
      </c>
    </row>
    <row r="77" spans="1:21" ht="39.75" customHeight="1">
      <c r="A77" s="31"/>
      <c r="B77" s="31"/>
      <c r="C77" s="10" t="s">
        <v>115</v>
      </c>
      <c r="D77" s="9">
        <f ca="1">TESORERIA1PERIODO!B26</f>
        <v>1</v>
      </c>
      <c r="E77" s="9" t="str">
        <f ca="1">TESORERIA1PERIODO!C26</f>
        <v>CAMBIOS</v>
      </c>
      <c r="F77" s="9" t="str">
        <f ca="1">TESORERIA1PERIODO!D26</f>
        <v>ASCENDENTE</v>
      </c>
      <c r="G77" s="9" t="str">
        <f ca="1">TESORERIA1PERIODO!E26</f>
        <v>BITACORA OPERATIVA</v>
      </c>
      <c r="H77" s="9">
        <f ca="1">TESORERIA1PERIODO!F26</f>
        <v>0</v>
      </c>
      <c r="I77" s="9">
        <f ca="1">TESORERIA1PERIODO!G26</f>
        <v>0</v>
      </c>
      <c r="J77" s="9">
        <f ca="1">TESORERIA1PERIODO!H26</f>
        <v>0</v>
      </c>
      <c r="K77" s="9">
        <f ca="1">TESORERIA1PERIODO!I26</f>
        <v>0</v>
      </c>
      <c r="L77" s="9">
        <f ca="1">TESORERIA1PERIODO!J26</f>
        <v>1</v>
      </c>
      <c r="M77" s="9">
        <f ca="1">TESORERIA1PERIODO!K26</f>
        <v>0</v>
      </c>
      <c r="N77" s="9">
        <f ca="1">TESORERIA1PERIODO!L26</f>
        <v>0</v>
      </c>
      <c r="O77" s="9">
        <f ca="1">TESORERIA1PERIODO!M26</f>
        <v>0</v>
      </c>
      <c r="P77" s="9">
        <f ca="1">TESORERIA1PERIODO!N26</f>
        <v>0</v>
      </c>
      <c r="Q77" s="9">
        <f ca="1">TESORERIA1PERIODO!O26</f>
        <v>0</v>
      </c>
      <c r="R77" s="9">
        <f ca="1">TESORERIA1PERIODO!P26</f>
        <v>0</v>
      </c>
      <c r="S77" s="9">
        <f ca="1">TESORERIA1PERIODO!Q26</f>
        <v>0</v>
      </c>
      <c r="T77" s="9">
        <f ca="1">TESORERIA1PERIODO!R26</f>
        <v>0</v>
      </c>
      <c r="U77" s="9">
        <f ca="1">TESORERIA1PERIODO!S26</f>
        <v>1</v>
      </c>
    </row>
    <row r="78" spans="1:21" ht="39.75" customHeight="1">
      <c r="A78" s="32" t="s">
        <v>116</v>
      </c>
      <c r="B78" s="34" t="s">
        <v>117</v>
      </c>
      <c r="C78" s="7" t="s">
        <v>118</v>
      </c>
      <c r="D78" s="9">
        <f ca="1">'1PERIODOCONTRALORIA'!B2</f>
        <v>1</v>
      </c>
      <c r="E78" s="9" t="str">
        <f ca="1">'1PERIODOCONTRALORIA'!C2</f>
        <v>AUDITORIAS</v>
      </c>
      <c r="F78" s="9" t="str">
        <f ca="1">'1PERIODOCONTRALORIA'!D2</f>
        <v>ASCENDENTE</v>
      </c>
      <c r="G78" s="9" t="str">
        <f ca="1">'1PERIODOCONTRALORIA'!E2</f>
        <v>BITACORA OPERATIVA</v>
      </c>
      <c r="H78" s="9">
        <f ca="1">'1PERIODOCONTRALORIA'!F2</f>
        <v>0</v>
      </c>
      <c r="I78" s="9">
        <f ca="1">'1PERIODOCONTRALORIA'!G2</f>
        <v>0</v>
      </c>
      <c r="J78" s="9">
        <f ca="1">'1PERIODOCONTRALORIA'!H2</f>
        <v>0</v>
      </c>
      <c r="K78" s="9">
        <f ca="1">'1PERIODOCONTRALORIA'!I2</f>
        <v>0</v>
      </c>
      <c r="L78" s="9">
        <f ca="1">'1PERIODOCONTRALORIA'!J2</f>
        <v>0</v>
      </c>
      <c r="M78" s="9">
        <f ca="1">'1PERIODOCONTRALORIA'!K2</f>
        <v>0</v>
      </c>
      <c r="N78" s="9">
        <f ca="1">'1PERIODOCONTRALORIA'!L2</f>
        <v>0</v>
      </c>
      <c r="O78" s="9">
        <f ca="1">'1PERIODOCONTRALORIA'!M2</f>
        <v>0</v>
      </c>
      <c r="P78" s="9">
        <f ca="1">'1PERIODOCONTRALORIA'!N2</f>
        <v>0</v>
      </c>
      <c r="Q78" s="9">
        <f ca="1">'1PERIODOCONTRALORIA'!O2</f>
        <v>0</v>
      </c>
      <c r="R78" s="9">
        <f ca="1">'1PERIODOCONTRALORIA'!P2</f>
        <v>0</v>
      </c>
      <c r="S78" s="9">
        <f ca="1">'1PERIODOCONTRALORIA'!Q2</f>
        <v>0</v>
      </c>
      <c r="T78" s="9">
        <f ca="1">'1PERIODOCONTRALORIA'!R2</f>
        <v>0</v>
      </c>
      <c r="U78" s="9">
        <f ca="1">'1PERIODOCONTRALORIA'!S2</f>
        <v>0</v>
      </c>
    </row>
    <row r="79" spans="1:21" ht="39.75" customHeight="1">
      <c r="A79" s="30"/>
      <c r="B79" s="30"/>
      <c r="C79" s="7" t="s">
        <v>119</v>
      </c>
      <c r="D79" s="9">
        <f ca="1">'1PERIODOCONTRALORIA'!B3</f>
        <v>1</v>
      </c>
      <c r="E79" s="9" t="str">
        <f ca="1">'1PERIODOCONTRALORIA'!C3</f>
        <v>AUDITORIAS</v>
      </c>
      <c r="F79" s="9" t="str">
        <f ca="1">'1PERIODOCONTRALORIA'!D3</f>
        <v>ASCENDENTE</v>
      </c>
      <c r="G79" s="9" t="str">
        <f ca="1">'1PERIODOCONTRALORIA'!E3</f>
        <v>BITACORA OPERATIVA</v>
      </c>
      <c r="H79" s="9">
        <f ca="1">'1PERIODOCONTRALORIA'!F3</f>
        <v>0</v>
      </c>
      <c r="I79" s="9">
        <f ca="1">'1PERIODOCONTRALORIA'!G3</f>
        <v>0</v>
      </c>
      <c r="J79" s="9">
        <f ca="1">'1PERIODOCONTRALORIA'!H3</f>
        <v>0</v>
      </c>
      <c r="K79" s="9">
        <f ca="1">'1PERIODOCONTRALORIA'!I3</f>
        <v>0</v>
      </c>
      <c r="L79" s="9">
        <f ca="1">'1PERIODOCONTRALORIA'!J3</f>
        <v>0</v>
      </c>
      <c r="M79" s="9">
        <f ca="1">'1PERIODOCONTRALORIA'!K3</f>
        <v>0</v>
      </c>
      <c r="N79" s="9">
        <f ca="1">'1PERIODOCONTRALORIA'!L3</f>
        <v>0</v>
      </c>
      <c r="O79" s="9">
        <f ca="1">'1PERIODOCONTRALORIA'!M3</f>
        <v>0</v>
      </c>
      <c r="P79" s="9">
        <f ca="1">'1PERIODOCONTRALORIA'!N3</f>
        <v>0</v>
      </c>
      <c r="Q79" s="9">
        <f ca="1">'1PERIODOCONTRALORIA'!O3</f>
        <v>0</v>
      </c>
      <c r="R79" s="9">
        <f ca="1">'1PERIODOCONTRALORIA'!P3</f>
        <v>0</v>
      </c>
      <c r="S79" s="9">
        <f ca="1">'1PERIODOCONTRALORIA'!Q3</f>
        <v>0</v>
      </c>
      <c r="T79" s="9">
        <f ca="1">'1PERIODOCONTRALORIA'!R3</f>
        <v>0</v>
      </c>
      <c r="U79" s="9">
        <f ca="1">'1PERIODOCONTRALORIA'!S3</f>
        <v>0</v>
      </c>
    </row>
    <row r="80" spans="1:21" ht="39.75" customHeight="1">
      <c r="A80" s="30"/>
      <c r="B80" s="30"/>
      <c r="C80" s="7" t="s">
        <v>120</v>
      </c>
      <c r="D80" s="9">
        <f ca="1">'1PERIODOCONTRALORIA'!B4</f>
        <v>1</v>
      </c>
      <c r="E80" s="9" t="str">
        <f ca="1">'1PERIODOCONTRALORIA'!C4</f>
        <v xml:space="preserve">ACTAS </v>
      </c>
      <c r="F80" s="9" t="str">
        <f ca="1">'1PERIODOCONTRALORIA'!D4</f>
        <v>ASCENDENTE</v>
      </c>
      <c r="G80" s="9" t="str">
        <f ca="1">'1PERIODOCONTRALORIA'!E4</f>
        <v>BITACORA OPERATIVA</v>
      </c>
      <c r="H80" s="9">
        <f ca="1">'1PERIODOCONTRALORIA'!F4</f>
        <v>0</v>
      </c>
      <c r="I80" s="9">
        <f ca="1">'1PERIODOCONTRALORIA'!G4</f>
        <v>0</v>
      </c>
      <c r="J80" s="9">
        <f ca="1">'1PERIODOCONTRALORIA'!H4</f>
        <v>0</v>
      </c>
      <c r="K80" s="9">
        <f ca="1">'1PERIODOCONTRALORIA'!I4</f>
        <v>0</v>
      </c>
      <c r="L80" s="9">
        <f ca="1">'1PERIODOCONTRALORIA'!J4</f>
        <v>0</v>
      </c>
      <c r="M80" s="9">
        <f ca="1">'1PERIODOCONTRALORIA'!K4</f>
        <v>0</v>
      </c>
      <c r="N80" s="9">
        <f ca="1">'1PERIODOCONTRALORIA'!L4</f>
        <v>0</v>
      </c>
      <c r="O80" s="9">
        <f ca="1">'1PERIODOCONTRALORIA'!M4</f>
        <v>0</v>
      </c>
      <c r="P80" s="9">
        <f ca="1">'1PERIODOCONTRALORIA'!N4</f>
        <v>0</v>
      </c>
      <c r="Q80" s="9">
        <f ca="1">'1PERIODOCONTRALORIA'!O4</f>
        <v>0</v>
      </c>
      <c r="R80" s="9">
        <f ca="1">'1PERIODOCONTRALORIA'!P4</f>
        <v>0</v>
      </c>
      <c r="S80" s="9">
        <f ca="1">'1PERIODOCONTRALORIA'!Q4</f>
        <v>0</v>
      </c>
      <c r="T80" s="9">
        <f ca="1">'1PERIODOCONTRALORIA'!R4</f>
        <v>0</v>
      </c>
      <c r="U80" s="9">
        <f ca="1">'1PERIODOCONTRALORIA'!S4</f>
        <v>0</v>
      </c>
    </row>
    <row r="81" spans="1:21" ht="39.75" customHeight="1">
      <c r="A81" s="30"/>
      <c r="B81" s="30"/>
      <c r="C81" s="7" t="s">
        <v>121</v>
      </c>
      <c r="D81" s="9">
        <f ca="1">'1PERIODOCONTRALORIA'!B5</f>
        <v>1</v>
      </c>
      <c r="E81" s="9" t="str">
        <f ca="1">'1PERIODOCONTRALORIA'!C5</f>
        <v>UNIDADES</v>
      </c>
      <c r="F81" s="9" t="str">
        <f ca="1">'1PERIODOCONTRALORIA'!D5</f>
        <v>ASCENDENTE</v>
      </c>
      <c r="G81" s="9" t="str">
        <f ca="1">'1PERIODOCONTRALORIA'!E5</f>
        <v>BITACORA OPERATIVA</v>
      </c>
      <c r="H81" s="9">
        <f ca="1">'1PERIODOCONTRALORIA'!F5</f>
        <v>0</v>
      </c>
      <c r="I81" s="9">
        <f ca="1">'1PERIODOCONTRALORIA'!G5</f>
        <v>0</v>
      </c>
      <c r="J81" s="9">
        <f ca="1">'1PERIODOCONTRALORIA'!H5</f>
        <v>0</v>
      </c>
      <c r="K81" s="9">
        <f ca="1">'1PERIODOCONTRALORIA'!I5</f>
        <v>0</v>
      </c>
      <c r="L81" s="9">
        <f ca="1">'1PERIODOCONTRALORIA'!J5</f>
        <v>0</v>
      </c>
      <c r="M81" s="9">
        <f ca="1">'1PERIODOCONTRALORIA'!K5</f>
        <v>0</v>
      </c>
      <c r="N81" s="9">
        <f ca="1">'1PERIODOCONTRALORIA'!L5</f>
        <v>0</v>
      </c>
      <c r="O81" s="9">
        <f ca="1">'1PERIODOCONTRALORIA'!M5</f>
        <v>0</v>
      </c>
      <c r="P81" s="9">
        <f ca="1">'1PERIODOCONTRALORIA'!N5</f>
        <v>0</v>
      </c>
      <c r="Q81" s="9">
        <f ca="1">'1PERIODOCONTRALORIA'!O5</f>
        <v>0</v>
      </c>
      <c r="R81" s="9">
        <f ca="1">'1PERIODOCONTRALORIA'!P5</f>
        <v>0</v>
      </c>
      <c r="S81" s="9">
        <f ca="1">'1PERIODOCONTRALORIA'!Q5</f>
        <v>0</v>
      </c>
      <c r="T81" s="9">
        <f ca="1">'1PERIODOCONTRALORIA'!R5</f>
        <v>0</v>
      </c>
      <c r="U81" s="9">
        <f ca="1">'1PERIODOCONTRALORIA'!S5</f>
        <v>0</v>
      </c>
    </row>
    <row r="82" spans="1:21" ht="39.75" customHeight="1">
      <c r="A82" s="30"/>
      <c r="B82" s="30"/>
      <c r="C82" s="7" t="s">
        <v>122</v>
      </c>
      <c r="D82" s="9">
        <f ca="1">'1PERIODOCONTRALORIA'!B6</f>
        <v>1</v>
      </c>
      <c r="E82" s="9" t="str">
        <f ca="1">'1PERIODOCONTRALORIA'!C6</f>
        <v>CEDULAS</v>
      </c>
      <c r="F82" s="9" t="str">
        <f ca="1">'1PERIODOCONTRALORIA'!D6</f>
        <v>ASCENDENTE</v>
      </c>
      <c r="G82" s="9" t="str">
        <f ca="1">'1PERIODOCONTRALORIA'!E6</f>
        <v>BITACORA OPERATIVA</v>
      </c>
      <c r="H82" s="9">
        <f ca="1">'1PERIODOCONTRALORIA'!F6</f>
        <v>0</v>
      </c>
      <c r="I82" s="9">
        <f ca="1">'1PERIODOCONTRALORIA'!G6</f>
        <v>0</v>
      </c>
      <c r="J82" s="9">
        <f ca="1">'1PERIODOCONTRALORIA'!H6</f>
        <v>0</v>
      </c>
      <c r="K82" s="9">
        <f ca="1">'1PERIODOCONTRALORIA'!I6</f>
        <v>0</v>
      </c>
      <c r="L82" s="9">
        <f ca="1">'1PERIODOCONTRALORIA'!J6</f>
        <v>0</v>
      </c>
      <c r="M82" s="9">
        <f ca="1">'1PERIODOCONTRALORIA'!K6</f>
        <v>0</v>
      </c>
      <c r="N82" s="9">
        <f ca="1">'1PERIODOCONTRALORIA'!L6</f>
        <v>0</v>
      </c>
      <c r="O82" s="9">
        <f ca="1">'1PERIODOCONTRALORIA'!M6</f>
        <v>0</v>
      </c>
      <c r="P82" s="9">
        <f ca="1">'1PERIODOCONTRALORIA'!N6</f>
        <v>0</v>
      </c>
      <c r="Q82" s="9">
        <f ca="1">'1PERIODOCONTRALORIA'!O6</f>
        <v>0</v>
      </c>
      <c r="R82" s="9">
        <f ca="1">'1PERIODOCONTRALORIA'!P6</f>
        <v>0</v>
      </c>
      <c r="S82" s="9">
        <f ca="1">'1PERIODOCONTRALORIA'!Q6</f>
        <v>0</v>
      </c>
      <c r="T82" s="9">
        <f ca="1">'1PERIODOCONTRALORIA'!R6</f>
        <v>0</v>
      </c>
      <c r="U82" s="9">
        <f ca="1">'1PERIODOCONTRALORIA'!S6</f>
        <v>0</v>
      </c>
    </row>
    <row r="83" spans="1:21" ht="39.75" customHeight="1">
      <c r="A83" s="30"/>
      <c r="B83" s="30"/>
      <c r="C83" s="7" t="s">
        <v>123</v>
      </c>
      <c r="D83" s="9">
        <f ca="1">'1PERIODOCONTRALORIA'!B7</f>
        <v>1</v>
      </c>
      <c r="E83" s="9" t="str">
        <f ca="1">'1PERIODOCONTRALORIA'!C7</f>
        <v>DOCUMENTOS EVALUADOS</v>
      </c>
      <c r="F83" s="9" t="str">
        <f ca="1">'1PERIODOCONTRALORIA'!D7</f>
        <v>ASCENDENTE</v>
      </c>
      <c r="G83" s="9" t="str">
        <f ca="1">'1PERIODOCONTRALORIA'!E7</f>
        <v>BITACORA OPERATIVA</v>
      </c>
      <c r="H83" s="9">
        <f ca="1">'1PERIODOCONTRALORIA'!F7</f>
        <v>0</v>
      </c>
      <c r="I83" s="9">
        <f ca="1">'1PERIODOCONTRALORIA'!G7</f>
        <v>0</v>
      </c>
      <c r="J83" s="9">
        <f ca="1">'1PERIODOCONTRALORIA'!H7</f>
        <v>0</v>
      </c>
      <c r="K83" s="9">
        <f ca="1">'1PERIODOCONTRALORIA'!I7</f>
        <v>0</v>
      </c>
      <c r="L83" s="9">
        <f ca="1">'1PERIODOCONTRALORIA'!J7</f>
        <v>0</v>
      </c>
      <c r="M83" s="9">
        <f ca="1">'1PERIODOCONTRALORIA'!K7</f>
        <v>0</v>
      </c>
      <c r="N83" s="9">
        <f ca="1">'1PERIODOCONTRALORIA'!L7</f>
        <v>0</v>
      </c>
      <c r="O83" s="9">
        <f ca="1">'1PERIODOCONTRALORIA'!M7</f>
        <v>0</v>
      </c>
      <c r="P83" s="9">
        <f ca="1">'1PERIODOCONTRALORIA'!N7</f>
        <v>0</v>
      </c>
      <c r="Q83" s="9">
        <f ca="1">'1PERIODOCONTRALORIA'!O7</f>
        <v>0</v>
      </c>
      <c r="R83" s="9">
        <f ca="1">'1PERIODOCONTRALORIA'!P7</f>
        <v>0</v>
      </c>
      <c r="S83" s="9">
        <f ca="1">'1PERIODOCONTRALORIA'!Q7</f>
        <v>0</v>
      </c>
      <c r="T83" s="9">
        <f ca="1">'1PERIODOCONTRALORIA'!R7</f>
        <v>0</v>
      </c>
      <c r="U83" s="9">
        <f ca="1">'1PERIODOCONTRALORIA'!S7</f>
        <v>0</v>
      </c>
    </row>
    <row r="84" spans="1:21" ht="39.75" customHeight="1">
      <c r="A84" s="30"/>
      <c r="B84" s="30"/>
      <c r="C84" s="7" t="s">
        <v>124</v>
      </c>
      <c r="D84" s="9">
        <f ca="1">'1PERIODOCONTRALORIA'!B8</f>
        <v>1</v>
      </c>
      <c r="E84" s="9" t="str">
        <f ca="1">'1PERIODOCONTRALORIA'!C8</f>
        <v>OBSERVACIONES</v>
      </c>
      <c r="F84" s="9" t="str">
        <f ca="1">'1PERIODOCONTRALORIA'!D8</f>
        <v>ASCENDENTE</v>
      </c>
      <c r="G84" s="9" t="str">
        <f ca="1">'1PERIODOCONTRALORIA'!E8</f>
        <v>BITACORA OPERATIVA</v>
      </c>
      <c r="H84" s="9">
        <f ca="1">'1PERIODOCONTRALORIA'!F8</f>
        <v>0</v>
      </c>
      <c r="I84" s="9">
        <f ca="1">'1PERIODOCONTRALORIA'!G8</f>
        <v>0</v>
      </c>
      <c r="J84" s="9">
        <f ca="1">'1PERIODOCONTRALORIA'!H8</f>
        <v>0</v>
      </c>
      <c r="K84" s="9">
        <f ca="1">'1PERIODOCONTRALORIA'!I8</f>
        <v>0</v>
      </c>
      <c r="L84" s="9">
        <f ca="1">'1PERIODOCONTRALORIA'!J8</f>
        <v>0</v>
      </c>
      <c r="M84" s="9">
        <f ca="1">'1PERIODOCONTRALORIA'!K8</f>
        <v>0</v>
      </c>
      <c r="N84" s="9">
        <f ca="1">'1PERIODOCONTRALORIA'!L8</f>
        <v>0</v>
      </c>
      <c r="O84" s="9">
        <f ca="1">'1PERIODOCONTRALORIA'!M8</f>
        <v>0</v>
      </c>
      <c r="P84" s="9">
        <f ca="1">'1PERIODOCONTRALORIA'!N8</f>
        <v>0</v>
      </c>
      <c r="Q84" s="9">
        <f ca="1">'1PERIODOCONTRALORIA'!O8</f>
        <v>0</v>
      </c>
      <c r="R84" s="9">
        <f ca="1">'1PERIODOCONTRALORIA'!P8</f>
        <v>0</v>
      </c>
      <c r="S84" s="9">
        <f ca="1">'1PERIODOCONTRALORIA'!Q8</f>
        <v>0</v>
      </c>
      <c r="T84" s="9">
        <f ca="1">'1PERIODOCONTRALORIA'!R8</f>
        <v>0</v>
      </c>
      <c r="U84" s="9">
        <f ca="1">'1PERIODOCONTRALORIA'!S8</f>
        <v>0</v>
      </c>
    </row>
    <row r="85" spans="1:21" ht="39.75" customHeight="1">
      <c r="A85" s="30"/>
      <c r="B85" s="31"/>
      <c r="C85" s="7" t="s">
        <v>125</v>
      </c>
      <c r="D85" s="9">
        <f ca="1">'1PERIODOCONTRALORIA'!B9</f>
        <v>1</v>
      </c>
      <c r="E85" s="9" t="str">
        <f ca="1">'1PERIODOCONTRALORIA'!C9</f>
        <v>AUDITORIAS FINALIZADAS</v>
      </c>
      <c r="F85" s="9" t="str">
        <f ca="1">'1PERIODOCONTRALORIA'!D9</f>
        <v>ASCENDENTE</v>
      </c>
      <c r="G85" s="9" t="str">
        <f ca="1">'1PERIODOCONTRALORIA'!E9</f>
        <v>BITACORA OPERATIVA</v>
      </c>
      <c r="H85" s="9">
        <f ca="1">'1PERIODOCONTRALORIA'!F9</f>
        <v>100</v>
      </c>
      <c r="I85" s="9">
        <f ca="1">'1PERIODOCONTRALORIA'!G9</f>
        <v>0</v>
      </c>
      <c r="J85" s="9">
        <f ca="1">'1PERIODOCONTRALORIA'!H9</f>
        <v>0</v>
      </c>
      <c r="K85" s="9">
        <f ca="1">'1PERIODOCONTRALORIA'!I9</f>
        <v>0</v>
      </c>
      <c r="L85" s="9">
        <f ca="1">'1PERIODOCONTRALORIA'!J9</f>
        <v>1</v>
      </c>
      <c r="M85" s="9">
        <f ca="1">'1PERIODOCONTRALORIA'!K9</f>
        <v>0</v>
      </c>
      <c r="N85" s="9">
        <f ca="1">'1PERIODOCONTRALORIA'!L9</f>
        <v>0</v>
      </c>
      <c r="O85" s="9">
        <f ca="1">'1PERIODOCONTRALORIA'!M9</f>
        <v>0</v>
      </c>
      <c r="P85" s="9">
        <f ca="1">'1PERIODOCONTRALORIA'!N9</f>
        <v>0</v>
      </c>
      <c r="Q85" s="9">
        <f ca="1">'1PERIODOCONTRALORIA'!O9</f>
        <v>0</v>
      </c>
      <c r="R85" s="9">
        <f ca="1">'1PERIODOCONTRALORIA'!P9</f>
        <v>0</v>
      </c>
      <c r="S85" s="9">
        <f ca="1">'1PERIODOCONTRALORIA'!Q9</f>
        <v>0</v>
      </c>
      <c r="T85" s="9">
        <f ca="1">'1PERIODOCONTRALORIA'!R9</f>
        <v>0</v>
      </c>
      <c r="U85" s="9">
        <f ca="1">'1PERIODOCONTRALORIA'!S9</f>
        <v>1</v>
      </c>
    </row>
    <row r="86" spans="1:21" ht="39.75" customHeight="1">
      <c r="A86" s="30"/>
      <c r="B86" s="34" t="s">
        <v>126</v>
      </c>
      <c r="C86" s="7" t="s">
        <v>127</v>
      </c>
      <c r="D86" s="9">
        <f ca="1">'1PERIODOCONTRALORIA'!B10</f>
        <v>1</v>
      </c>
      <c r="E86" s="9" t="str">
        <f ca="1">'1PERIODOCONTRALORIA'!C10</f>
        <v>AUDITORIAS</v>
      </c>
      <c r="F86" s="9" t="str">
        <f ca="1">'1PERIODOCONTRALORIA'!D10</f>
        <v>ASCENDENTE</v>
      </c>
      <c r="G86" s="9" t="str">
        <f ca="1">'1PERIODOCONTRALORIA'!E10</f>
        <v>BITACORA OPERATIVA</v>
      </c>
      <c r="H86" s="9">
        <f ca="1">'1PERIODOCONTRALORIA'!F10</f>
        <v>0</v>
      </c>
      <c r="I86" s="9">
        <f ca="1">'1PERIODOCONTRALORIA'!G10</f>
        <v>0</v>
      </c>
      <c r="J86" s="9">
        <f ca="1">'1PERIODOCONTRALORIA'!H10</f>
        <v>0</v>
      </c>
      <c r="K86" s="9">
        <f ca="1">'1PERIODOCONTRALORIA'!I10</f>
        <v>0</v>
      </c>
      <c r="L86" s="9">
        <f ca="1">'1PERIODOCONTRALORIA'!J10</f>
        <v>0</v>
      </c>
      <c r="M86" s="9">
        <f ca="1">'1PERIODOCONTRALORIA'!K10</f>
        <v>0</v>
      </c>
      <c r="N86" s="9">
        <f ca="1">'1PERIODOCONTRALORIA'!L10</f>
        <v>0</v>
      </c>
      <c r="O86" s="9">
        <f ca="1">'1PERIODOCONTRALORIA'!M10</f>
        <v>0</v>
      </c>
      <c r="P86" s="9">
        <f ca="1">'1PERIODOCONTRALORIA'!N10</f>
        <v>0</v>
      </c>
      <c r="Q86" s="9">
        <f ca="1">'1PERIODOCONTRALORIA'!O10</f>
        <v>0</v>
      </c>
      <c r="R86" s="9">
        <f ca="1">'1PERIODOCONTRALORIA'!P10</f>
        <v>0</v>
      </c>
      <c r="S86" s="9">
        <f ca="1">'1PERIODOCONTRALORIA'!Q10</f>
        <v>0</v>
      </c>
      <c r="T86" s="9">
        <f ca="1">'1PERIODOCONTRALORIA'!R10</f>
        <v>0</v>
      </c>
      <c r="U86" s="9">
        <f ca="1">'1PERIODOCONTRALORIA'!S10</f>
        <v>0</v>
      </c>
    </row>
    <row r="87" spans="1:21" ht="39.75" customHeight="1">
      <c r="A87" s="30"/>
      <c r="B87" s="30"/>
      <c r="C87" s="7" t="s">
        <v>128</v>
      </c>
      <c r="D87" s="9">
        <f ca="1">'1PERIODOCONTRALORIA'!B11</f>
        <v>1</v>
      </c>
      <c r="E87" s="9" t="str">
        <f ca="1">'1PERIODOCONTRALORIA'!C11</f>
        <v>AUDITORIAS</v>
      </c>
      <c r="F87" s="9" t="str">
        <f ca="1">'1PERIODOCONTRALORIA'!D11</f>
        <v>ASCENDENTE</v>
      </c>
      <c r="G87" s="9" t="str">
        <f ca="1">'1PERIODOCONTRALORIA'!E11</f>
        <v>BITACORA OPERATIVA</v>
      </c>
      <c r="H87" s="9">
        <f ca="1">'1PERIODOCONTRALORIA'!F11</f>
        <v>0</v>
      </c>
      <c r="I87" s="9">
        <f ca="1">'1PERIODOCONTRALORIA'!G11</f>
        <v>0</v>
      </c>
      <c r="J87" s="9">
        <f ca="1">'1PERIODOCONTRALORIA'!H11</f>
        <v>0</v>
      </c>
      <c r="K87" s="9">
        <f ca="1">'1PERIODOCONTRALORIA'!I11</f>
        <v>0</v>
      </c>
      <c r="L87" s="9">
        <f ca="1">'1PERIODOCONTRALORIA'!J11</f>
        <v>0</v>
      </c>
      <c r="M87" s="9">
        <f ca="1">'1PERIODOCONTRALORIA'!K11</f>
        <v>0</v>
      </c>
      <c r="N87" s="9">
        <f ca="1">'1PERIODOCONTRALORIA'!L11</f>
        <v>0</v>
      </c>
      <c r="O87" s="9">
        <f ca="1">'1PERIODOCONTRALORIA'!M11</f>
        <v>0</v>
      </c>
      <c r="P87" s="9">
        <f ca="1">'1PERIODOCONTRALORIA'!N11</f>
        <v>0</v>
      </c>
      <c r="Q87" s="9">
        <f ca="1">'1PERIODOCONTRALORIA'!O11</f>
        <v>0</v>
      </c>
      <c r="R87" s="9">
        <f ca="1">'1PERIODOCONTRALORIA'!P11</f>
        <v>0</v>
      </c>
      <c r="S87" s="9">
        <f ca="1">'1PERIODOCONTRALORIA'!Q11</f>
        <v>0</v>
      </c>
      <c r="T87" s="9">
        <f ca="1">'1PERIODOCONTRALORIA'!R11</f>
        <v>0</v>
      </c>
      <c r="U87" s="9">
        <f ca="1">'1PERIODOCONTRALORIA'!S11</f>
        <v>0</v>
      </c>
    </row>
    <row r="88" spans="1:21" ht="39.75" customHeight="1">
      <c r="A88" s="30"/>
      <c r="B88" s="30"/>
      <c r="C88" s="7" t="s">
        <v>129</v>
      </c>
      <c r="D88" s="9">
        <f ca="1">'1PERIODOCONTRALORIA'!B12</f>
        <v>1</v>
      </c>
      <c r="E88" s="9" t="str">
        <f ca="1">'1PERIODOCONTRALORIA'!C12</f>
        <v>AUDITORIAS</v>
      </c>
      <c r="F88" s="9" t="str">
        <f ca="1">'1PERIODOCONTRALORIA'!D12</f>
        <v>ASCENDENTE</v>
      </c>
      <c r="G88" s="9" t="str">
        <f ca="1">'1PERIODOCONTRALORIA'!E12</f>
        <v>BITACORA OPERATIVA</v>
      </c>
      <c r="H88" s="9">
        <f ca="1">'1PERIODOCONTRALORIA'!F12</f>
        <v>0</v>
      </c>
      <c r="I88" s="9">
        <f ca="1">'1PERIODOCONTRALORIA'!G12</f>
        <v>0</v>
      </c>
      <c r="J88" s="9">
        <f ca="1">'1PERIODOCONTRALORIA'!H12</f>
        <v>0</v>
      </c>
      <c r="K88" s="9">
        <f ca="1">'1PERIODOCONTRALORIA'!I12</f>
        <v>0</v>
      </c>
      <c r="L88" s="9">
        <f ca="1">'1PERIODOCONTRALORIA'!J12</f>
        <v>0</v>
      </c>
      <c r="M88" s="9">
        <f ca="1">'1PERIODOCONTRALORIA'!K12</f>
        <v>0</v>
      </c>
      <c r="N88" s="9">
        <f ca="1">'1PERIODOCONTRALORIA'!L12</f>
        <v>0</v>
      </c>
      <c r="O88" s="9">
        <f ca="1">'1PERIODOCONTRALORIA'!M12</f>
        <v>0</v>
      </c>
      <c r="P88" s="9">
        <f ca="1">'1PERIODOCONTRALORIA'!N12</f>
        <v>0</v>
      </c>
      <c r="Q88" s="9">
        <f ca="1">'1PERIODOCONTRALORIA'!O12</f>
        <v>0</v>
      </c>
      <c r="R88" s="9">
        <f ca="1">'1PERIODOCONTRALORIA'!P12</f>
        <v>0</v>
      </c>
      <c r="S88" s="9">
        <f ca="1">'1PERIODOCONTRALORIA'!Q12</f>
        <v>0</v>
      </c>
      <c r="T88" s="9">
        <f ca="1">'1PERIODOCONTRALORIA'!R12</f>
        <v>0</v>
      </c>
      <c r="U88" s="9">
        <f ca="1">'1PERIODOCONTRALORIA'!S12</f>
        <v>0</v>
      </c>
    </row>
    <row r="89" spans="1:21" ht="39.75" customHeight="1">
      <c r="A89" s="30"/>
      <c r="B89" s="30"/>
      <c r="C89" s="7" t="s">
        <v>130</v>
      </c>
      <c r="D89" s="9">
        <f ca="1">'1PERIODOCONTRALORIA'!B13</f>
        <v>1</v>
      </c>
      <c r="E89" s="9" t="str">
        <f ca="1">'1PERIODOCONTRALORIA'!C13</f>
        <v>AUDITORIAS</v>
      </c>
      <c r="F89" s="9" t="str">
        <f ca="1">'1PERIODOCONTRALORIA'!D13</f>
        <v>ASCENDENTE</v>
      </c>
      <c r="G89" s="9" t="str">
        <f ca="1">'1PERIODOCONTRALORIA'!E13</f>
        <v>BITACORA OPERATIVA</v>
      </c>
      <c r="H89" s="9">
        <f ca="1">'1PERIODOCONTRALORIA'!F13</f>
        <v>0</v>
      </c>
      <c r="I89" s="9">
        <f ca="1">'1PERIODOCONTRALORIA'!G13</f>
        <v>0</v>
      </c>
      <c r="J89" s="9">
        <f ca="1">'1PERIODOCONTRALORIA'!H13</f>
        <v>0</v>
      </c>
      <c r="K89" s="9">
        <f ca="1">'1PERIODOCONTRALORIA'!I13</f>
        <v>0</v>
      </c>
      <c r="L89" s="9">
        <f ca="1">'1PERIODOCONTRALORIA'!J13</f>
        <v>0</v>
      </c>
      <c r="M89" s="9">
        <f ca="1">'1PERIODOCONTRALORIA'!K13</f>
        <v>0</v>
      </c>
      <c r="N89" s="9">
        <f ca="1">'1PERIODOCONTRALORIA'!L13</f>
        <v>0</v>
      </c>
      <c r="O89" s="9">
        <f ca="1">'1PERIODOCONTRALORIA'!M13</f>
        <v>0</v>
      </c>
      <c r="P89" s="9">
        <f ca="1">'1PERIODOCONTRALORIA'!N13</f>
        <v>0</v>
      </c>
      <c r="Q89" s="9">
        <f ca="1">'1PERIODOCONTRALORIA'!O13</f>
        <v>0</v>
      </c>
      <c r="R89" s="9">
        <f ca="1">'1PERIODOCONTRALORIA'!P13</f>
        <v>0</v>
      </c>
      <c r="S89" s="9">
        <f ca="1">'1PERIODOCONTRALORIA'!Q13</f>
        <v>0</v>
      </c>
      <c r="T89" s="9">
        <f ca="1">'1PERIODOCONTRALORIA'!R13</f>
        <v>0</v>
      </c>
      <c r="U89" s="9">
        <f ca="1">'1PERIODOCONTRALORIA'!S13</f>
        <v>0</v>
      </c>
    </row>
    <row r="90" spans="1:21" ht="39.75" customHeight="1">
      <c r="A90" s="30"/>
      <c r="B90" s="31"/>
      <c r="C90" s="7" t="s">
        <v>131</v>
      </c>
      <c r="D90" s="9">
        <f ca="1">'1PERIODOCONTRALORIA'!B14</f>
        <v>1</v>
      </c>
      <c r="E90" s="9" t="str">
        <f ca="1">'1PERIODOCONTRALORIA'!C14</f>
        <v>AUDITORIAS</v>
      </c>
      <c r="F90" s="9" t="str">
        <f ca="1">'1PERIODOCONTRALORIA'!D14</f>
        <v>ASCENDENTE</v>
      </c>
      <c r="G90" s="9" t="str">
        <f ca="1">'1PERIODOCONTRALORIA'!E14</f>
        <v>BITACORA OPERATIVA</v>
      </c>
      <c r="H90" s="9">
        <f ca="1">'1PERIODOCONTRALORIA'!F14</f>
        <v>0</v>
      </c>
      <c r="I90" s="9">
        <f ca="1">'1PERIODOCONTRALORIA'!G14</f>
        <v>0</v>
      </c>
      <c r="J90" s="9">
        <f ca="1">'1PERIODOCONTRALORIA'!H14</f>
        <v>0</v>
      </c>
      <c r="K90" s="9">
        <f ca="1">'1PERIODOCONTRALORIA'!I14</f>
        <v>0</v>
      </c>
      <c r="L90" s="9">
        <f ca="1">'1PERIODOCONTRALORIA'!J14</f>
        <v>0</v>
      </c>
      <c r="M90" s="9">
        <f ca="1">'1PERIODOCONTRALORIA'!K14</f>
        <v>0</v>
      </c>
      <c r="N90" s="9">
        <f ca="1">'1PERIODOCONTRALORIA'!L14</f>
        <v>0</v>
      </c>
      <c r="O90" s="9">
        <f ca="1">'1PERIODOCONTRALORIA'!M14</f>
        <v>0</v>
      </c>
      <c r="P90" s="9">
        <f ca="1">'1PERIODOCONTRALORIA'!N14</f>
        <v>0</v>
      </c>
      <c r="Q90" s="9">
        <f ca="1">'1PERIODOCONTRALORIA'!O14</f>
        <v>0</v>
      </c>
      <c r="R90" s="9">
        <f ca="1">'1PERIODOCONTRALORIA'!P14</f>
        <v>0</v>
      </c>
      <c r="S90" s="9">
        <f ca="1">'1PERIODOCONTRALORIA'!Q14</f>
        <v>0</v>
      </c>
      <c r="T90" s="9">
        <f ca="1">'1PERIODOCONTRALORIA'!R14</f>
        <v>0</v>
      </c>
      <c r="U90" s="9">
        <f ca="1">'1PERIODOCONTRALORIA'!S14</f>
        <v>0</v>
      </c>
    </row>
    <row r="91" spans="1:21" ht="39.75" customHeight="1">
      <c r="A91" s="30"/>
      <c r="B91" s="34" t="s">
        <v>132</v>
      </c>
      <c r="C91" s="7" t="s">
        <v>133</v>
      </c>
      <c r="D91" s="9">
        <f ca="1">'1PERIODOCONTRALORIA'!B15</f>
        <v>1</v>
      </c>
      <c r="E91" s="9" t="str">
        <f ca="1">'1PERIODOCONTRALORIA'!C15</f>
        <v xml:space="preserve">DECLARACIONES </v>
      </c>
      <c r="F91" s="9" t="str">
        <f ca="1">'1PERIODOCONTRALORIA'!D15</f>
        <v>ASCENDENTE</v>
      </c>
      <c r="G91" s="9" t="str">
        <f ca="1">'1PERIODOCONTRALORIA'!E15</f>
        <v>BITACORA OPERATIVA</v>
      </c>
      <c r="H91" s="9">
        <f ca="1">'1PERIODOCONTRALORIA'!F15</f>
        <v>3800</v>
      </c>
      <c r="I91" s="9">
        <f ca="1">'1PERIODOCONTRALORIA'!G15</f>
        <v>0</v>
      </c>
      <c r="J91" s="9">
        <f ca="1">'1PERIODOCONTRALORIA'!H15</f>
        <v>0</v>
      </c>
      <c r="K91" s="9">
        <f ca="1">'1PERIODOCONTRALORIA'!I15</f>
        <v>0</v>
      </c>
      <c r="L91" s="9">
        <f ca="1">'1PERIODOCONTRALORIA'!J15</f>
        <v>38</v>
      </c>
      <c r="M91" s="9">
        <f ca="1">'1PERIODOCONTRALORIA'!K15</f>
        <v>0</v>
      </c>
      <c r="N91" s="9">
        <f ca="1">'1PERIODOCONTRALORIA'!L15</f>
        <v>0</v>
      </c>
      <c r="O91" s="9">
        <f ca="1">'1PERIODOCONTRALORIA'!M15</f>
        <v>0</v>
      </c>
      <c r="P91" s="9">
        <f ca="1">'1PERIODOCONTRALORIA'!N15</f>
        <v>0</v>
      </c>
      <c r="Q91" s="9">
        <f ca="1">'1PERIODOCONTRALORIA'!O15</f>
        <v>0</v>
      </c>
      <c r="R91" s="9">
        <f ca="1">'1PERIODOCONTRALORIA'!P15</f>
        <v>0</v>
      </c>
      <c r="S91" s="9">
        <f ca="1">'1PERIODOCONTRALORIA'!Q15</f>
        <v>0</v>
      </c>
      <c r="T91" s="9">
        <f ca="1">'1PERIODOCONTRALORIA'!R15</f>
        <v>0</v>
      </c>
      <c r="U91" s="9">
        <f ca="1">'1PERIODOCONTRALORIA'!S15</f>
        <v>38</v>
      </c>
    </row>
    <row r="92" spans="1:21" ht="39.75" customHeight="1">
      <c r="A92" s="30"/>
      <c r="B92" s="30"/>
      <c r="C92" s="7" t="s">
        <v>134</v>
      </c>
      <c r="D92" s="9">
        <f ca="1">'1PERIODOCONTRALORIA'!B16</f>
        <v>1</v>
      </c>
      <c r="E92" s="9" t="str">
        <f ca="1">'1PERIODOCONTRALORIA'!C16</f>
        <v xml:space="preserve">DECLARACIONES </v>
      </c>
      <c r="F92" s="9" t="str">
        <f ca="1">'1PERIODOCONTRALORIA'!D16</f>
        <v>ASCENDENTE</v>
      </c>
      <c r="G92" s="9" t="str">
        <f ca="1">'1PERIODOCONTRALORIA'!E16</f>
        <v>BITACORA OPERATIVA</v>
      </c>
      <c r="H92" s="9">
        <f ca="1">'1PERIODOCONTRALORIA'!F16</f>
        <v>1000</v>
      </c>
      <c r="I92" s="9">
        <f ca="1">'1PERIODOCONTRALORIA'!G16</f>
        <v>0</v>
      </c>
      <c r="J92" s="9">
        <f ca="1">'1PERIODOCONTRALORIA'!H16</f>
        <v>0</v>
      </c>
      <c r="K92" s="9">
        <f ca="1">'1PERIODOCONTRALORIA'!I16</f>
        <v>0</v>
      </c>
      <c r="L92" s="9">
        <f ca="1">'1PERIODOCONTRALORIA'!J16</f>
        <v>10</v>
      </c>
      <c r="M92" s="9">
        <f ca="1">'1PERIODOCONTRALORIA'!K16</f>
        <v>0</v>
      </c>
      <c r="N92" s="9">
        <f ca="1">'1PERIODOCONTRALORIA'!L16</f>
        <v>0</v>
      </c>
      <c r="O92" s="9">
        <f ca="1">'1PERIODOCONTRALORIA'!M16</f>
        <v>0</v>
      </c>
      <c r="P92" s="9">
        <f ca="1">'1PERIODOCONTRALORIA'!N16</f>
        <v>0</v>
      </c>
      <c r="Q92" s="9">
        <f ca="1">'1PERIODOCONTRALORIA'!O16</f>
        <v>0</v>
      </c>
      <c r="R92" s="9">
        <f ca="1">'1PERIODOCONTRALORIA'!P16</f>
        <v>0</v>
      </c>
      <c r="S92" s="9">
        <f ca="1">'1PERIODOCONTRALORIA'!Q16</f>
        <v>0</v>
      </c>
      <c r="T92" s="9">
        <f ca="1">'1PERIODOCONTRALORIA'!R16</f>
        <v>0</v>
      </c>
      <c r="U92" s="9">
        <f ca="1">'1PERIODOCONTRALORIA'!S16</f>
        <v>10</v>
      </c>
    </row>
    <row r="93" spans="1:21" ht="39.75" customHeight="1">
      <c r="A93" s="30"/>
      <c r="B93" s="30"/>
      <c r="C93" s="7" t="s">
        <v>135</v>
      </c>
      <c r="D93" s="9">
        <f ca="1">'1PERIODOCONTRALORIA'!B17</f>
        <v>1</v>
      </c>
      <c r="E93" s="9" t="str">
        <f ca="1">'1PERIODOCONTRALORIA'!C17</f>
        <v xml:space="preserve">DECLARACIONES </v>
      </c>
      <c r="F93" s="9" t="str">
        <f ca="1">'1PERIODOCONTRALORIA'!D17</f>
        <v>ASCENDENTE</v>
      </c>
      <c r="G93" s="9" t="str">
        <f ca="1">'1PERIODOCONTRALORIA'!E17</f>
        <v>BITACORA OPERATIVA</v>
      </c>
      <c r="H93" s="9">
        <f ca="1">'1PERIODOCONTRALORIA'!F17</f>
        <v>0</v>
      </c>
      <c r="I93" s="9">
        <f ca="1">'1PERIODOCONTRALORIA'!G17</f>
        <v>0</v>
      </c>
      <c r="J93" s="9">
        <f ca="1">'1PERIODOCONTRALORIA'!H17</f>
        <v>0</v>
      </c>
      <c r="K93" s="9">
        <f ca="1">'1PERIODOCONTRALORIA'!I17</f>
        <v>0</v>
      </c>
      <c r="L93" s="9">
        <f ca="1">'1PERIODOCONTRALORIA'!J17</f>
        <v>0</v>
      </c>
      <c r="M93" s="9">
        <f ca="1">'1PERIODOCONTRALORIA'!K17</f>
        <v>0</v>
      </c>
      <c r="N93" s="9">
        <f ca="1">'1PERIODOCONTRALORIA'!L17</f>
        <v>0</v>
      </c>
      <c r="O93" s="9">
        <f ca="1">'1PERIODOCONTRALORIA'!M17</f>
        <v>0</v>
      </c>
      <c r="P93" s="9">
        <f ca="1">'1PERIODOCONTRALORIA'!N17</f>
        <v>0</v>
      </c>
      <c r="Q93" s="9">
        <f ca="1">'1PERIODOCONTRALORIA'!O17</f>
        <v>0</v>
      </c>
      <c r="R93" s="9">
        <f ca="1">'1PERIODOCONTRALORIA'!P17</f>
        <v>0</v>
      </c>
      <c r="S93" s="9">
        <f ca="1">'1PERIODOCONTRALORIA'!Q17</f>
        <v>0</v>
      </c>
      <c r="T93" s="9">
        <f ca="1">'1PERIODOCONTRALORIA'!R17</f>
        <v>0</v>
      </c>
      <c r="U93" s="9">
        <f ca="1">'1PERIODOCONTRALORIA'!S17</f>
        <v>0</v>
      </c>
    </row>
    <row r="94" spans="1:21" ht="39.75" customHeight="1">
      <c r="A94" s="30"/>
      <c r="B94" s="30"/>
      <c r="C94" s="7" t="s">
        <v>136</v>
      </c>
      <c r="D94" s="9">
        <f ca="1">'1PERIODOCONTRALORIA'!B18</f>
        <v>1</v>
      </c>
      <c r="E94" s="9" t="str">
        <f ca="1">'1PERIODOCONTRALORIA'!C18</f>
        <v xml:space="preserve">DECLARACIONES </v>
      </c>
      <c r="F94" s="9" t="str">
        <f ca="1">'1PERIODOCONTRALORIA'!D18</f>
        <v>ASCENDENTE</v>
      </c>
      <c r="G94" s="9" t="str">
        <f ca="1">'1PERIODOCONTRALORIA'!E18</f>
        <v>BITACORA OPERATIVA</v>
      </c>
      <c r="H94" s="9">
        <f ca="1">'1PERIODOCONTRALORIA'!F18</f>
        <v>0</v>
      </c>
      <c r="I94" s="9">
        <f ca="1">'1PERIODOCONTRALORIA'!G18</f>
        <v>0</v>
      </c>
      <c r="J94" s="9">
        <f ca="1">'1PERIODOCONTRALORIA'!H18</f>
        <v>0</v>
      </c>
      <c r="K94" s="9">
        <f ca="1">'1PERIODOCONTRALORIA'!I18</f>
        <v>0</v>
      </c>
      <c r="L94" s="9">
        <f ca="1">'1PERIODOCONTRALORIA'!J18</f>
        <v>0</v>
      </c>
      <c r="M94" s="9">
        <f ca="1">'1PERIODOCONTRALORIA'!K18</f>
        <v>0</v>
      </c>
      <c r="N94" s="9">
        <f ca="1">'1PERIODOCONTRALORIA'!L18</f>
        <v>0</v>
      </c>
      <c r="O94" s="9">
        <f ca="1">'1PERIODOCONTRALORIA'!M18</f>
        <v>0</v>
      </c>
      <c r="P94" s="9">
        <f ca="1">'1PERIODOCONTRALORIA'!N18</f>
        <v>0</v>
      </c>
      <c r="Q94" s="9">
        <f ca="1">'1PERIODOCONTRALORIA'!O18</f>
        <v>0</v>
      </c>
      <c r="R94" s="9">
        <f ca="1">'1PERIODOCONTRALORIA'!P18</f>
        <v>0</v>
      </c>
      <c r="S94" s="9">
        <f ca="1">'1PERIODOCONTRALORIA'!Q18</f>
        <v>0</v>
      </c>
      <c r="T94" s="9">
        <f ca="1">'1PERIODOCONTRALORIA'!R18</f>
        <v>0</v>
      </c>
      <c r="U94" s="9">
        <f ca="1">'1PERIODOCONTRALORIA'!S18</f>
        <v>0</v>
      </c>
    </row>
    <row r="95" spans="1:21" ht="39.75" customHeight="1">
      <c r="A95" s="31"/>
      <c r="B95" s="31"/>
      <c r="C95" s="7" t="s">
        <v>137</v>
      </c>
      <c r="D95" s="9">
        <f ca="1">'1PERIODOCONTRALORIA'!B19</f>
        <v>1</v>
      </c>
      <c r="E95" s="9" t="str">
        <f ca="1">'1PERIODOCONTRALORIA'!C19</f>
        <v xml:space="preserve">DECLARACIONES </v>
      </c>
      <c r="F95" s="9" t="str">
        <f ca="1">'1PERIODOCONTRALORIA'!D19</f>
        <v>ASCENDENTE</v>
      </c>
      <c r="G95" s="9" t="str">
        <f ca="1">'1PERIODOCONTRALORIA'!E19</f>
        <v>BITACORA OPERATIVA</v>
      </c>
      <c r="H95" s="9">
        <f ca="1">'1PERIODOCONTRALORIA'!F19</f>
        <v>100</v>
      </c>
      <c r="I95" s="9">
        <f ca="1">'1PERIODOCONTRALORIA'!G19</f>
        <v>0</v>
      </c>
      <c r="J95" s="9">
        <f ca="1">'1PERIODOCONTRALORIA'!H19</f>
        <v>0</v>
      </c>
      <c r="K95" s="9">
        <f ca="1">'1PERIODOCONTRALORIA'!I19</f>
        <v>0</v>
      </c>
      <c r="L95" s="9">
        <f ca="1">'1PERIODOCONTRALORIA'!J19</f>
        <v>1</v>
      </c>
      <c r="M95" s="9">
        <f ca="1">'1PERIODOCONTRALORIA'!K19</f>
        <v>0</v>
      </c>
      <c r="N95" s="9">
        <f ca="1">'1PERIODOCONTRALORIA'!L19</f>
        <v>0</v>
      </c>
      <c r="O95" s="9">
        <f ca="1">'1PERIODOCONTRALORIA'!M19</f>
        <v>0</v>
      </c>
      <c r="P95" s="9">
        <f ca="1">'1PERIODOCONTRALORIA'!N19</f>
        <v>0</v>
      </c>
      <c r="Q95" s="9">
        <f ca="1">'1PERIODOCONTRALORIA'!O19</f>
        <v>0</v>
      </c>
      <c r="R95" s="9">
        <f ca="1">'1PERIODOCONTRALORIA'!P19</f>
        <v>0</v>
      </c>
      <c r="S95" s="9">
        <f ca="1">'1PERIODOCONTRALORIA'!Q19</f>
        <v>0</v>
      </c>
      <c r="T95" s="9">
        <f ca="1">'1PERIODOCONTRALORIA'!R19</f>
        <v>0</v>
      </c>
      <c r="U95" s="9">
        <f ca="1">'1PERIODOCONTRALORIA'!S19</f>
        <v>1</v>
      </c>
    </row>
    <row r="96" spans="1:21" ht="39.75" customHeight="1">
      <c r="A96" s="32" t="s">
        <v>138</v>
      </c>
      <c r="B96" s="29" t="s">
        <v>139</v>
      </c>
      <c r="C96" s="4" t="s">
        <v>140</v>
      </c>
      <c r="D96" s="9">
        <f ca="1">'1ER PERIODOADMINISTRACION'!B2</f>
        <v>1</v>
      </c>
      <c r="E96" s="9">
        <f>'1ER PERIODOADMINISTRACION'!C2</f>
        <v>0</v>
      </c>
      <c r="F96" s="9" t="str">
        <f ca="1">'1ER PERIODOADMINISTRACION'!D2</f>
        <v>ASCENDENTE</v>
      </c>
      <c r="G96" s="9" t="str">
        <f ca="1">'1ER PERIODOADMINISTRACION'!E2</f>
        <v>SESIONES PUBLICAS</v>
      </c>
      <c r="H96" s="9">
        <f ca="1">'1ER PERIODOADMINISTRACION'!F2</f>
        <v>0</v>
      </c>
      <c r="I96" s="9">
        <f ca="1">'1ER PERIODOADMINISTRACION'!G2</f>
        <v>0</v>
      </c>
      <c r="J96" s="9">
        <f ca="1">'1ER PERIODOADMINISTRACION'!H2</f>
        <v>0</v>
      </c>
      <c r="K96" s="9">
        <f ca="1">'1ER PERIODOADMINISTRACION'!I2</f>
        <v>0</v>
      </c>
      <c r="L96" s="9">
        <f ca="1">'1ER PERIODOADMINISTRACION'!J2</f>
        <v>0</v>
      </c>
      <c r="M96" s="9">
        <f ca="1">'1ER PERIODOADMINISTRACION'!K2</f>
        <v>1</v>
      </c>
      <c r="N96" s="9">
        <f ca="1">'1ER PERIODOADMINISTRACION'!L2</f>
        <v>1</v>
      </c>
      <c r="O96" s="9">
        <f ca="1">'1ER PERIODOADMINISTRACION'!M2</f>
        <v>0</v>
      </c>
      <c r="P96" s="9">
        <f ca="1">'1ER PERIODOADMINISTRACION'!N2</f>
        <v>0</v>
      </c>
      <c r="Q96" s="9">
        <f ca="1">'1ER PERIODOADMINISTRACION'!O2</f>
        <v>0</v>
      </c>
      <c r="R96" s="9">
        <f ca="1">'1ER PERIODOADMINISTRACION'!P2</f>
        <v>0</v>
      </c>
      <c r="S96" s="9">
        <f ca="1">'1ER PERIODOADMINISTRACION'!Q2</f>
        <v>0</v>
      </c>
      <c r="T96" s="9">
        <f ca="1">'1ER PERIODOADMINISTRACION'!R2</f>
        <v>0</v>
      </c>
      <c r="U96" s="9">
        <f ca="1">'1ER PERIODOADMINISTRACION'!S2</f>
        <v>2</v>
      </c>
    </row>
    <row r="97" spans="1:21" ht="39.75" customHeight="1">
      <c r="A97" s="30"/>
      <c r="B97" s="30"/>
      <c r="C97" s="4" t="s">
        <v>141</v>
      </c>
      <c r="D97" s="9">
        <f ca="1">'1ER PERIODOADMINISTRACION'!B3</f>
        <v>1</v>
      </c>
      <c r="E97" s="9">
        <f>'1ER PERIODOADMINISTRACION'!C3</f>
        <v>0</v>
      </c>
      <c r="F97" s="9" t="str">
        <f ca="1">'1ER PERIODOADMINISTRACION'!D3</f>
        <v>ASCENDENTE</v>
      </c>
      <c r="G97" s="9" t="str">
        <f ca="1">'1ER PERIODOADMINISTRACION'!E3</f>
        <v>BITACORA DE ATENCION</v>
      </c>
      <c r="H97" s="9">
        <f ca="1">'1ER PERIODOADMINISTRACION'!F3</f>
        <v>0</v>
      </c>
      <c r="I97" s="9">
        <f ca="1">'1ER PERIODOADMINISTRACION'!G3</f>
        <v>0</v>
      </c>
      <c r="J97" s="9">
        <f ca="1">'1ER PERIODOADMINISTRACION'!H3</f>
        <v>0</v>
      </c>
      <c r="K97" s="9">
        <f ca="1">'1ER PERIODOADMINISTRACION'!I3</f>
        <v>0</v>
      </c>
      <c r="L97" s="9">
        <f ca="1">'1ER PERIODOADMINISTRACION'!J3</f>
        <v>1</v>
      </c>
      <c r="M97" s="9">
        <f ca="1">'1ER PERIODOADMINISTRACION'!K3</f>
        <v>2</v>
      </c>
      <c r="N97" s="9">
        <f ca="1">'1ER PERIODOADMINISTRACION'!L3</f>
        <v>0</v>
      </c>
      <c r="O97" s="9">
        <f ca="1">'1ER PERIODOADMINISTRACION'!M3</f>
        <v>0</v>
      </c>
      <c r="P97" s="9">
        <f ca="1">'1ER PERIODOADMINISTRACION'!N3</f>
        <v>0</v>
      </c>
      <c r="Q97" s="9">
        <f ca="1">'1ER PERIODOADMINISTRACION'!O3</f>
        <v>0</v>
      </c>
      <c r="R97" s="9">
        <f ca="1">'1ER PERIODOADMINISTRACION'!P3</f>
        <v>0</v>
      </c>
      <c r="S97" s="9">
        <f ca="1">'1ER PERIODOADMINISTRACION'!Q3</f>
        <v>0</v>
      </c>
      <c r="T97" s="9">
        <f ca="1">'1ER PERIODOADMINISTRACION'!R3</f>
        <v>0</v>
      </c>
      <c r="U97" s="9">
        <f ca="1">'1ER PERIODOADMINISTRACION'!S3</f>
        <v>3</v>
      </c>
    </row>
    <row r="98" spans="1:21" ht="39.75" customHeight="1">
      <c r="A98" s="30"/>
      <c r="B98" s="30"/>
      <c r="C98" s="4" t="s">
        <v>142</v>
      </c>
      <c r="D98" s="9">
        <f ca="1">'1ER PERIODOADMINISTRACION'!B4</f>
        <v>1</v>
      </c>
      <c r="E98" s="9">
        <f>'1ER PERIODOADMINISTRACION'!C4</f>
        <v>0</v>
      </c>
      <c r="F98" s="9" t="str">
        <f ca="1">'1ER PERIODOADMINISTRACION'!D4</f>
        <v>ASCENDENTE</v>
      </c>
      <c r="G98" s="9" t="str">
        <f ca="1">'1ER PERIODOADMINISTRACION'!E4</f>
        <v>BITACORA DE ATENCION</v>
      </c>
      <c r="H98" s="9">
        <f ca="1">'1ER PERIODOADMINISTRACION'!F4</f>
        <v>0</v>
      </c>
      <c r="I98" s="9">
        <f ca="1">'1ER PERIODOADMINISTRACION'!G4</f>
        <v>0</v>
      </c>
      <c r="J98" s="9">
        <f ca="1">'1ER PERIODOADMINISTRACION'!H4</f>
        <v>0</v>
      </c>
      <c r="K98" s="9">
        <f ca="1">'1ER PERIODOADMINISTRACION'!I4</f>
        <v>0</v>
      </c>
      <c r="L98" s="9">
        <f ca="1">'1ER PERIODOADMINISTRACION'!J4</f>
        <v>299</v>
      </c>
      <c r="M98" s="9">
        <f ca="1">'1ER PERIODOADMINISTRACION'!K4</f>
        <v>527</v>
      </c>
      <c r="N98" s="9">
        <f ca="1">'1ER PERIODOADMINISTRACION'!L4</f>
        <v>0</v>
      </c>
      <c r="O98" s="9">
        <f ca="1">'1ER PERIODOADMINISTRACION'!M4</f>
        <v>0</v>
      </c>
      <c r="P98" s="9">
        <f ca="1">'1ER PERIODOADMINISTRACION'!N4</f>
        <v>0</v>
      </c>
      <c r="Q98" s="9">
        <f ca="1">'1ER PERIODOADMINISTRACION'!O4</f>
        <v>0</v>
      </c>
      <c r="R98" s="9">
        <f ca="1">'1ER PERIODOADMINISTRACION'!P4</f>
        <v>0</v>
      </c>
      <c r="S98" s="9">
        <f ca="1">'1ER PERIODOADMINISTRACION'!Q4</f>
        <v>0</v>
      </c>
      <c r="T98" s="9">
        <f ca="1">'1ER PERIODOADMINISTRACION'!R4</f>
        <v>0</v>
      </c>
      <c r="U98" s="9">
        <f ca="1">'1ER PERIODOADMINISTRACION'!S4</f>
        <v>826</v>
      </c>
    </row>
    <row r="99" spans="1:21" ht="39.75" customHeight="1">
      <c r="A99" s="30"/>
      <c r="B99" s="31"/>
      <c r="C99" s="4" t="s">
        <v>143</v>
      </c>
      <c r="D99" s="9">
        <f ca="1">'1ER PERIODOADMINISTRACION'!B5</f>
        <v>1</v>
      </c>
      <c r="E99" s="9">
        <f>'1ER PERIODOADMINISTRACION'!C5</f>
        <v>0</v>
      </c>
      <c r="F99" s="9" t="str">
        <f ca="1">'1ER PERIODOADMINISTRACION'!D5</f>
        <v>ASCENDENTE</v>
      </c>
      <c r="G99" s="9" t="str">
        <f ca="1">'1ER PERIODOADMINISTRACION'!E5</f>
        <v>BITACORA OPERATIVA</v>
      </c>
      <c r="H99" s="9">
        <f ca="1">'1ER PERIODOADMINISTRACION'!F5</f>
        <v>0</v>
      </c>
      <c r="I99" s="9">
        <f ca="1">'1ER PERIODOADMINISTRACION'!G5</f>
        <v>0</v>
      </c>
      <c r="J99" s="9">
        <f ca="1">'1ER PERIODOADMINISTRACION'!H5</f>
        <v>0</v>
      </c>
      <c r="K99" s="9">
        <f ca="1">'1ER PERIODOADMINISTRACION'!I5</f>
        <v>0</v>
      </c>
      <c r="L99" s="9">
        <f ca="1">'1ER PERIODOADMINISTRACION'!J5</f>
        <v>138</v>
      </c>
      <c r="M99" s="9">
        <f ca="1">'1ER PERIODOADMINISTRACION'!K5</f>
        <v>122</v>
      </c>
      <c r="N99" s="9">
        <f ca="1">'1ER PERIODOADMINISTRACION'!L5</f>
        <v>114</v>
      </c>
      <c r="O99" s="9">
        <f ca="1">'1ER PERIODOADMINISTRACION'!M5</f>
        <v>0</v>
      </c>
      <c r="P99" s="9">
        <f ca="1">'1ER PERIODOADMINISTRACION'!N5</f>
        <v>0</v>
      </c>
      <c r="Q99" s="9">
        <f ca="1">'1ER PERIODOADMINISTRACION'!O5</f>
        <v>0</v>
      </c>
      <c r="R99" s="9">
        <f ca="1">'1ER PERIODOADMINISTRACION'!P5</f>
        <v>0</v>
      </c>
      <c r="S99" s="9">
        <f ca="1">'1ER PERIODOADMINISTRACION'!Q5</f>
        <v>0</v>
      </c>
      <c r="T99" s="9">
        <f ca="1">'1ER PERIODOADMINISTRACION'!R5</f>
        <v>0</v>
      </c>
      <c r="U99" s="9">
        <f ca="1">'1ER PERIODOADMINISTRACION'!S5</f>
        <v>374</v>
      </c>
    </row>
    <row r="100" spans="1:21" ht="39.75" customHeight="1">
      <c r="A100" s="30"/>
      <c r="B100" s="29" t="s">
        <v>144</v>
      </c>
      <c r="C100" s="4" t="s">
        <v>145</v>
      </c>
      <c r="D100" s="9">
        <f ca="1">'1ER PERIODOADMINISTRACION'!B6</f>
        <v>1</v>
      </c>
      <c r="E100" s="9">
        <f>'1ER PERIODOADMINISTRACION'!C6</f>
        <v>0</v>
      </c>
      <c r="F100" s="9" t="str">
        <f ca="1">'1ER PERIODOADMINISTRACION'!D6</f>
        <v>ASCENDENTE</v>
      </c>
      <c r="G100" s="9" t="str">
        <f ca="1">'1ER PERIODOADMINISTRACION'!E6</f>
        <v>BITACORA OPERATIVA</v>
      </c>
      <c r="H100" s="9">
        <f ca="1">'1ER PERIODOADMINISTRACION'!F6</f>
        <v>0</v>
      </c>
      <c r="I100" s="9">
        <f ca="1">'1ER PERIODOADMINISTRACION'!G6</f>
        <v>0</v>
      </c>
      <c r="J100" s="9">
        <f ca="1">'1ER PERIODOADMINISTRACION'!H6</f>
        <v>0</v>
      </c>
      <c r="K100" s="9">
        <f ca="1">'1ER PERIODOADMINISTRACION'!I6</f>
        <v>0</v>
      </c>
      <c r="L100" s="9">
        <f ca="1">'1ER PERIODOADMINISTRACION'!J6</f>
        <v>0</v>
      </c>
      <c r="M100" s="9">
        <f ca="1">'1ER PERIODOADMINISTRACION'!K6</f>
        <v>0</v>
      </c>
      <c r="N100" s="9">
        <f ca="1">'1ER PERIODOADMINISTRACION'!L6</f>
        <v>1</v>
      </c>
      <c r="O100" s="9">
        <f ca="1">'1ER PERIODOADMINISTRACION'!M6</f>
        <v>0</v>
      </c>
      <c r="P100" s="9">
        <f ca="1">'1ER PERIODOADMINISTRACION'!N6</f>
        <v>0</v>
      </c>
      <c r="Q100" s="9">
        <f ca="1">'1ER PERIODOADMINISTRACION'!O6</f>
        <v>0</v>
      </c>
      <c r="R100" s="9">
        <f ca="1">'1ER PERIODOADMINISTRACION'!P6</f>
        <v>0</v>
      </c>
      <c r="S100" s="9">
        <f ca="1">'1ER PERIODOADMINISTRACION'!Q6</f>
        <v>0</v>
      </c>
      <c r="T100" s="9">
        <f ca="1">'1ER PERIODOADMINISTRACION'!R6</f>
        <v>0</v>
      </c>
      <c r="U100" s="9">
        <f ca="1">'1ER PERIODOADMINISTRACION'!S6</f>
        <v>1</v>
      </c>
    </row>
    <row r="101" spans="1:21" ht="39.75" customHeight="1">
      <c r="A101" s="30"/>
      <c r="B101" s="30"/>
      <c r="C101" s="4" t="s">
        <v>146</v>
      </c>
      <c r="D101" s="9">
        <f ca="1">'1ER PERIODOADMINISTRACION'!B7</f>
        <v>1</v>
      </c>
      <c r="E101" s="9">
        <f>'1ER PERIODOADMINISTRACION'!C7</f>
        <v>0</v>
      </c>
      <c r="F101" s="9" t="str">
        <f ca="1">'1ER PERIODOADMINISTRACION'!D7</f>
        <v>ASCENDENTE</v>
      </c>
      <c r="G101" s="9" t="str">
        <f ca="1">'1ER PERIODOADMINISTRACION'!E7</f>
        <v>BITACORA OPERATIVA</v>
      </c>
      <c r="H101" s="9">
        <f ca="1">'1ER PERIODOADMINISTRACION'!F7</f>
        <v>0</v>
      </c>
      <c r="I101" s="9">
        <f ca="1">'1ER PERIODOADMINISTRACION'!G7</f>
        <v>0</v>
      </c>
      <c r="J101" s="9">
        <f ca="1">'1ER PERIODOADMINISTRACION'!H7</f>
        <v>0</v>
      </c>
      <c r="K101" s="9">
        <f ca="1">'1ER PERIODOADMINISTRACION'!I7</f>
        <v>0</v>
      </c>
      <c r="L101" s="9">
        <f ca="1">'1ER PERIODOADMINISTRACION'!J7</f>
        <v>0</v>
      </c>
      <c r="M101" s="9">
        <f ca="1">'1ER PERIODOADMINISTRACION'!K7</f>
        <v>2</v>
      </c>
      <c r="N101" s="9">
        <f ca="1">'1ER PERIODOADMINISTRACION'!L7</f>
        <v>0</v>
      </c>
      <c r="O101" s="9">
        <f ca="1">'1ER PERIODOADMINISTRACION'!M7</f>
        <v>0</v>
      </c>
      <c r="P101" s="9">
        <f ca="1">'1ER PERIODOADMINISTRACION'!N7</f>
        <v>0</v>
      </c>
      <c r="Q101" s="9">
        <f ca="1">'1ER PERIODOADMINISTRACION'!O7</f>
        <v>0</v>
      </c>
      <c r="R101" s="9">
        <f ca="1">'1ER PERIODOADMINISTRACION'!P7</f>
        <v>0</v>
      </c>
      <c r="S101" s="9">
        <f ca="1">'1ER PERIODOADMINISTRACION'!Q7</f>
        <v>0</v>
      </c>
      <c r="T101" s="9">
        <f ca="1">'1ER PERIODOADMINISTRACION'!R7</f>
        <v>0</v>
      </c>
      <c r="U101" s="9">
        <f ca="1">'1ER PERIODOADMINISTRACION'!S7</f>
        <v>2</v>
      </c>
    </row>
    <row r="102" spans="1:21" ht="39.75" customHeight="1">
      <c r="A102" s="30"/>
      <c r="B102" s="30"/>
      <c r="C102" s="4" t="s">
        <v>147</v>
      </c>
      <c r="D102" s="9">
        <f ca="1">'1ER PERIODOADMINISTRACION'!B8</f>
        <v>1</v>
      </c>
      <c r="E102" s="9">
        <f>'1ER PERIODOADMINISTRACION'!C8</f>
        <v>0</v>
      </c>
      <c r="F102" s="9" t="str">
        <f ca="1">'1ER PERIODOADMINISTRACION'!D8</f>
        <v>ASCENDENTE</v>
      </c>
      <c r="G102" s="9" t="str">
        <f ca="1">'1ER PERIODOADMINISTRACION'!E8</f>
        <v>BITACORA OPERATIVA</v>
      </c>
      <c r="H102" s="9">
        <f ca="1">'1ER PERIODOADMINISTRACION'!F8</f>
        <v>0</v>
      </c>
      <c r="I102" s="9">
        <f ca="1">'1ER PERIODOADMINISTRACION'!G8</f>
        <v>0</v>
      </c>
      <c r="J102" s="9">
        <f ca="1">'1ER PERIODOADMINISTRACION'!H8</f>
        <v>0</v>
      </c>
      <c r="K102" s="9">
        <f ca="1">'1ER PERIODOADMINISTRACION'!I8</f>
        <v>0</v>
      </c>
      <c r="L102" s="9">
        <f ca="1">'1ER PERIODOADMINISTRACION'!J8</f>
        <v>0</v>
      </c>
      <c r="M102" s="9">
        <f ca="1">'1ER PERIODOADMINISTRACION'!K8</f>
        <v>0</v>
      </c>
      <c r="N102" s="9">
        <f ca="1">'1ER PERIODOADMINISTRACION'!L8</f>
        <v>1</v>
      </c>
      <c r="O102" s="9">
        <f ca="1">'1ER PERIODOADMINISTRACION'!M8</f>
        <v>0</v>
      </c>
      <c r="P102" s="9">
        <f ca="1">'1ER PERIODOADMINISTRACION'!N8</f>
        <v>0</v>
      </c>
      <c r="Q102" s="9">
        <f ca="1">'1ER PERIODOADMINISTRACION'!O8</f>
        <v>0</v>
      </c>
      <c r="R102" s="9">
        <f ca="1">'1ER PERIODOADMINISTRACION'!P8</f>
        <v>0</v>
      </c>
      <c r="S102" s="9">
        <f ca="1">'1ER PERIODOADMINISTRACION'!Q8</f>
        <v>0</v>
      </c>
      <c r="T102" s="9">
        <f ca="1">'1ER PERIODOADMINISTRACION'!R8</f>
        <v>0</v>
      </c>
      <c r="U102" s="9">
        <f ca="1">'1ER PERIODOADMINISTRACION'!S8</f>
        <v>1</v>
      </c>
    </row>
    <row r="103" spans="1:21" ht="39.75" customHeight="1">
      <c r="A103" s="30"/>
      <c r="B103" s="30"/>
      <c r="C103" s="4" t="s">
        <v>148</v>
      </c>
      <c r="D103" s="9">
        <f ca="1">'1ER PERIODOADMINISTRACION'!B9</f>
        <v>1</v>
      </c>
      <c r="E103" s="9">
        <f>'1ER PERIODOADMINISTRACION'!C9</f>
        <v>0</v>
      </c>
      <c r="F103" s="9" t="str">
        <f ca="1">'1ER PERIODOADMINISTRACION'!D9</f>
        <v>ASCENDENTE</v>
      </c>
      <c r="G103" s="9" t="str">
        <f ca="1">'1ER PERIODOADMINISTRACION'!E9</f>
        <v>BITACORA OPERATIVA</v>
      </c>
      <c r="H103" s="9">
        <f ca="1">'1ER PERIODOADMINISTRACION'!F9</f>
        <v>0</v>
      </c>
      <c r="I103" s="9">
        <f ca="1">'1ER PERIODOADMINISTRACION'!G9</f>
        <v>0</v>
      </c>
      <c r="J103" s="9">
        <f ca="1">'1ER PERIODOADMINISTRACION'!H9</f>
        <v>0</v>
      </c>
      <c r="K103" s="9">
        <f ca="1">'1ER PERIODOADMINISTRACION'!I9</f>
        <v>0</v>
      </c>
      <c r="L103" s="9">
        <f ca="1">'1ER PERIODOADMINISTRACION'!J9</f>
        <v>0</v>
      </c>
      <c r="M103" s="9">
        <f ca="1">'1ER PERIODOADMINISTRACION'!K9</f>
        <v>0</v>
      </c>
      <c r="N103" s="9">
        <f ca="1">'1ER PERIODOADMINISTRACION'!L9</f>
        <v>0</v>
      </c>
      <c r="O103" s="9">
        <f ca="1">'1ER PERIODOADMINISTRACION'!M9</f>
        <v>0</v>
      </c>
      <c r="P103" s="9">
        <f ca="1">'1ER PERIODOADMINISTRACION'!N9</f>
        <v>0</v>
      </c>
      <c r="Q103" s="9">
        <f ca="1">'1ER PERIODOADMINISTRACION'!O9</f>
        <v>0</v>
      </c>
      <c r="R103" s="9">
        <f ca="1">'1ER PERIODOADMINISTRACION'!P9</f>
        <v>0</v>
      </c>
      <c r="S103" s="9">
        <f ca="1">'1ER PERIODOADMINISTRACION'!Q9</f>
        <v>0</v>
      </c>
      <c r="T103" s="9">
        <f ca="1">'1ER PERIODOADMINISTRACION'!R9</f>
        <v>0</v>
      </c>
      <c r="U103" s="9">
        <f ca="1">'1ER PERIODOADMINISTRACION'!S9</f>
        <v>0</v>
      </c>
    </row>
    <row r="104" spans="1:21" ht="39.75" customHeight="1">
      <c r="A104" s="30"/>
      <c r="B104" s="30"/>
      <c r="C104" s="4" t="s">
        <v>149</v>
      </c>
      <c r="D104" s="9">
        <f ca="1">'1ER PERIODOADMINISTRACION'!B10</f>
        <v>1</v>
      </c>
      <c r="E104" s="9">
        <f>'1ER PERIODOADMINISTRACION'!C10</f>
        <v>0</v>
      </c>
      <c r="F104" s="9" t="str">
        <f ca="1">'1ER PERIODOADMINISTRACION'!D10</f>
        <v>ASCENDENTE</v>
      </c>
      <c r="G104" s="9" t="str">
        <f ca="1">'1ER PERIODOADMINISTRACION'!E10</f>
        <v>BITACORA OPERATIVA</v>
      </c>
      <c r="H104" s="9">
        <f ca="1">'1ER PERIODOADMINISTRACION'!F10</f>
        <v>0</v>
      </c>
      <c r="I104" s="9">
        <f ca="1">'1ER PERIODOADMINISTRACION'!G10</f>
        <v>0</v>
      </c>
      <c r="J104" s="9">
        <f ca="1">'1ER PERIODOADMINISTRACION'!H10</f>
        <v>0</v>
      </c>
      <c r="K104" s="9">
        <f ca="1">'1ER PERIODOADMINISTRACION'!I10</f>
        <v>0</v>
      </c>
      <c r="L104" s="9">
        <f ca="1">'1ER PERIODOADMINISTRACION'!J10</f>
        <v>0</v>
      </c>
      <c r="M104" s="9">
        <f ca="1">'1ER PERIODOADMINISTRACION'!K10</f>
        <v>0</v>
      </c>
      <c r="N104" s="9">
        <f ca="1">'1ER PERIODOADMINISTRACION'!L10</f>
        <v>0</v>
      </c>
      <c r="O104" s="9">
        <f ca="1">'1ER PERIODOADMINISTRACION'!M10</f>
        <v>0</v>
      </c>
      <c r="P104" s="9">
        <f ca="1">'1ER PERIODOADMINISTRACION'!N10</f>
        <v>0</v>
      </c>
      <c r="Q104" s="9">
        <f ca="1">'1ER PERIODOADMINISTRACION'!O10</f>
        <v>0</v>
      </c>
      <c r="R104" s="9">
        <f ca="1">'1ER PERIODOADMINISTRACION'!P10</f>
        <v>0</v>
      </c>
      <c r="S104" s="9">
        <f ca="1">'1ER PERIODOADMINISTRACION'!Q10</f>
        <v>0</v>
      </c>
      <c r="T104" s="9">
        <f ca="1">'1ER PERIODOADMINISTRACION'!R10</f>
        <v>0</v>
      </c>
      <c r="U104" s="9">
        <f ca="1">'1ER PERIODOADMINISTRACION'!S10</f>
        <v>0</v>
      </c>
    </row>
    <row r="105" spans="1:21" ht="39.75" customHeight="1">
      <c r="A105" s="30"/>
      <c r="B105" s="30"/>
      <c r="C105" s="4" t="s">
        <v>150</v>
      </c>
      <c r="D105" s="9">
        <f ca="1">'1ER PERIODOADMINISTRACION'!B11</f>
        <v>1</v>
      </c>
      <c r="E105" s="9">
        <f>'1ER PERIODOADMINISTRACION'!C11</f>
        <v>0</v>
      </c>
      <c r="F105" s="9" t="str">
        <f ca="1">'1ER PERIODOADMINISTRACION'!D11</f>
        <v>ASCENDENTE</v>
      </c>
      <c r="G105" s="9" t="str">
        <f ca="1">'1ER PERIODOADMINISTRACION'!E11</f>
        <v>BITACORA OPERATIVA</v>
      </c>
      <c r="H105" s="9">
        <f ca="1">'1ER PERIODOADMINISTRACION'!F11</f>
        <v>0</v>
      </c>
      <c r="I105" s="9">
        <f ca="1">'1ER PERIODOADMINISTRACION'!G11</f>
        <v>0</v>
      </c>
      <c r="J105" s="9">
        <f ca="1">'1ER PERIODOADMINISTRACION'!H11</f>
        <v>0</v>
      </c>
      <c r="K105" s="9">
        <f ca="1">'1ER PERIODOADMINISTRACION'!I11</f>
        <v>0</v>
      </c>
      <c r="L105" s="9">
        <f ca="1">'1ER PERIODOADMINISTRACION'!J11</f>
        <v>0</v>
      </c>
      <c r="M105" s="9">
        <f ca="1">'1ER PERIODOADMINISTRACION'!K11</f>
        <v>0</v>
      </c>
      <c r="N105" s="9">
        <f ca="1">'1ER PERIODOADMINISTRACION'!L11</f>
        <v>0</v>
      </c>
      <c r="O105" s="9">
        <f ca="1">'1ER PERIODOADMINISTRACION'!M11</f>
        <v>0</v>
      </c>
      <c r="P105" s="9">
        <f ca="1">'1ER PERIODOADMINISTRACION'!N11</f>
        <v>0</v>
      </c>
      <c r="Q105" s="9">
        <f ca="1">'1ER PERIODOADMINISTRACION'!O11</f>
        <v>0</v>
      </c>
      <c r="R105" s="9">
        <f ca="1">'1ER PERIODOADMINISTRACION'!P11</f>
        <v>0</v>
      </c>
      <c r="S105" s="9">
        <f ca="1">'1ER PERIODOADMINISTRACION'!Q11</f>
        <v>0</v>
      </c>
      <c r="T105" s="9">
        <f ca="1">'1ER PERIODOADMINISTRACION'!R11</f>
        <v>0</v>
      </c>
      <c r="U105" s="9">
        <f ca="1">'1ER PERIODOADMINISTRACION'!S11</f>
        <v>0</v>
      </c>
    </row>
    <row r="106" spans="1:21" ht="39.75" customHeight="1">
      <c r="A106" s="30"/>
      <c r="B106" s="30"/>
      <c r="C106" s="4" t="s">
        <v>151</v>
      </c>
      <c r="D106" s="9">
        <f ca="1">'1ER PERIODOADMINISTRACION'!B12</f>
        <v>1</v>
      </c>
      <c r="E106" s="9">
        <f>'1ER PERIODOADMINISTRACION'!C12</f>
        <v>0</v>
      </c>
      <c r="F106" s="9" t="str">
        <f ca="1">'1ER PERIODOADMINISTRACION'!D12</f>
        <v>ASCENDENTE</v>
      </c>
      <c r="G106" s="9" t="str">
        <f ca="1">'1ER PERIODOADMINISTRACION'!E12</f>
        <v>BITACORA OPERATIVA</v>
      </c>
      <c r="H106" s="9">
        <f ca="1">'1ER PERIODOADMINISTRACION'!F12</f>
        <v>0</v>
      </c>
      <c r="I106" s="9">
        <f ca="1">'1ER PERIODOADMINISTRACION'!G12</f>
        <v>0</v>
      </c>
      <c r="J106" s="9">
        <f ca="1">'1ER PERIODOADMINISTRACION'!H12</f>
        <v>0</v>
      </c>
      <c r="K106" s="9">
        <f ca="1">'1ER PERIODOADMINISTRACION'!I12</f>
        <v>0</v>
      </c>
      <c r="L106" s="9">
        <f ca="1">'1ER PERIODOADMINISTRACION'!J12</f>
        <v>0</v>
      </c>
      <c r="M106" s="9">
        <f ca="1">'1ER PERIODOADMINISTRACION'!K12</f>
        <v>0</v>
      </c>
      <c r="N106" s="9">
        <f ca="1">'1ER PERIODOADMINISTRACION'!L12</f>
        <v>0</v>
      </c>
      <c r="O106" s="9">
        <f ca="1">'1ER PERIODOADMINISTRACION'!M12</f>
        <v>0</v>
      </c>
      <c r="P106" s="9">
        <f ca="1">'1ER PERIODOADMINISTRACION'!N12</f>
        <v>0</v>
      </c>
      <c r="Q106" s="9">
        <f ca="1">'1ER PERIODOADMINISTRACION'!O12</f>
        <v>0</v>
      </c>
      <c r="R106" s="9">
        <f ca="1">'1ER PERIODOADMINISTRACION'!P12</f>
        <v>0</v>
      </c>
      <c r="S106" s="9">
        <f ca="1">'1ER PERIODOADMINISTRACION'!Q12</f>
        <v>0</v>
      </c>
      <c r="T106" s="9">
        <f ca="1">'1ER PERIODOADMINISTRACION'!R12</f>
        <v>0</v>
      </c>
      <c r="U106" s="9">
        <f ca="1">'1ER PERIODOADMINISTRACION'!S12</f>
        <v>0</v>
      </c>
    </row>
    <row r="107" spans="1:21" ht="39.75" customHeight="1">
      <c r="A107" s="30"/>
      <c r="B107" s="30"/>
      <c r="C107" s="4" t="s">
        <v>152</v>
      </c>
      <c r="D107" s="9">
        <f ca="1">'1ER PERIODOADMINISTRACION'!B13</f>
        <v>1</v>
      </c>
      <c r="E107" s="9">
        <f>'1ER PERIODOADMINISTRACION'!C13</f>
        <v>0</v>
      </c>
      <c r="F107" s="9" t="str">
        <f ca="1">'1ER PERIODOADMINISTRACION'!D13</f>
        <v>ASCENDENTE</v>
      </c>
      <c r="G107" s="9" t="str">
        <f ca="1">'1ER PERIODOADMINISTRACION'!E13</f>
        <v>BITACORA OPERATIVA</v>
      </c>
      <c r="H107" s="9">
        <f ca="1">'1ER PERIODOADMINISTRACION'!F13</f>
        <v>0</v>
      </c>
      <c r="I107" s="9">
        <f ca="1">'1ER PERIODOADMINISTRACION'!G13</f>
        <v>0</v>
      </c>
      <c r="J107" s="9">
        <f ca="1">'1ER PERIODOADMINISTRACION'!H13</f>
        <v>0</v>
      </c>
      <c r="K107" s="9">
        <f ca="1">'1ER PERIODOADMINISTRACION'!I13</f>
        <v>0</v>
      </c>
      <c r="L107" s="9">
        <f ca="1">'1ER PERIODOADMINISTRACION'!J13</f>
        <v>0</v>
      </c>
      <c r="M107" s="9">
        <f ca="1">'1ER PERIODOADMINISTRACION'!K13</f>
        <v>0</v>
      </c>
      <c r="N107" s="9">
        <f ca="1">'1ER PERIODOADMINISTRACION'!L13</f>
        <v>0</v>
      </c>
      <c r="O107" s="9">
        <f ca="1">'1ER PERIODOADMINISTRACION'!M13</f>
        <v>0</v>
      </c>
      <c r="P107" s="9">
        <f ca="1">'1ER PERIODOADMINISTRACION'!N13</f>
        <v>0</v>
      </c>
      <c r="Q107" s="9">
        <f ca="1">'1ER PERIODOADMINISTRACION'!O13</f>
        <v>0</v>
      </c>
      <c r="R107" s="9">
        <f ca="1">'1ER PERIODOADMINISTRACION'!P13</f>
        <v>0</v>
      </c>
      <c r="S107" s="9">
        <f ca="1">'1ER PERIODOADMINISTRACION'!Q13</f>
        <v>0</v>
      </c>
      <c r="T107" s="9">
        <f ca="1">'1ER PERIODOADMINISTRACION'!R13</f>
        <v>0</v>
      </c>
      <c r="U107" s="9">
        <f ca="1">'1ER PERIODOADMINISTRACION'!S13</f>
        <v>0</v>
      </c>
    </row>
    <row r="108" spans="1:21" ht="39.75" customHeight="1">
      <c r="A108" s="30"/>
      <c r="B108" s="30"/>
      <c r="C108" s="4" t="s">
        <v>153</v>
      </c>
      <c r="D108" s="9">
        <f ca="1">'1ER PERIODOADMINISTRACION'!B14</f>
        <v>1</v>
      </c>
      <c r="E108" s="9">
        <f>'1ER PERIODOADMINISTRACION'!C14</f>
        <v>0</v>
      </c>
      <c r="F108" s="9" t="str">
        <f ca="1">'1ER PERIODOADMINISTRACION'!D14</f>
        <v>ASCENDENTE</v>
      </c>
      <c r="G108" s="9" t="str">
        <f ca="1">'1ER PERIODOADMINISTRACION'!E14</f>
        <v>BITACORA OPERATIVA</v>
      </c>
      <c r="H108" s="9">
        <f ca="1">'1ER PERIODOADMINISTRACION'!F14</f>
        <v>0</v>
      </c>
      <c r="I108" s="9">
        <f ca="1">'1ER PERIODOADMINISTRACION'!G14</f>
        <v>0</v>
      </c>
      <c r="J108" s="9">
        <f ca="1">'1ER PERIODOADMINISTRACION'!H14</f>
        <v>0</v>
      </c>
      <c r="K108" s="9">
        <f ca="1">'1ER PERIODOADMINISTRACION'!I14</f>
        <v>0</v>
      </c>
      <c r="L108" s="9">
        <f ca="1">'1ER PERIODOADMINISTRACION'!J14</f>
        <v>5</v>
      </c>
      <c r="M108" s="9">
        <f ca="1">'1ER PERIODOADMINISTRACION'!K14</f>
        <v>20</v>
      </c>
      <c r="N108" s="9">
        <f ca="1">'1ER PERIODOADMINISTRACION'!L14</f>
        <v>6</v>
      </c>
      <c r="O108" s="9">
        <f ca="1">'1ER PERIODOADMINISTRACION'!M14</f>
        <v>0</v>
      </c>
      <c r="P108" s="9">
        <f ca="1">'1ER PERIODOADMINISTRACION'!N14</f>
        <v>0</v>
      </c>
      <c r="Q108" s="9">
        <f ca="1">'1ER PERIODOADMINISTRACION'!O14</f>
        <v>0</v>
      </c>
      <c r="R108" s="9">
        <f ca="1">'1ER PERIODOADMINISTRACION'!P14</f>
        <v>0</v>
      </c>
      <c r="S108" s="9">
        <f ca="1">'1ER PERIODOADMINISTRACION'!Q14</f>
        <v>0</v>
      </c>
      <c r="T108" s="9">
        <f ca="1">'1ER PERIODOADMINISTRACION'!R14</f>
        <v>0</v>
      </c>
      <c r="U108" s="9">
        <f ca="1">'1ER PERIODOADMINISTRACION'!S14</f>
        <v>31</v>
      </c>
    </row>
    <row r="109" spans="1:21" ht="39.75" customHeight="1">
      <c r="A109" s="30"/>
      <c r="B109" s="30"/>
      <c r="C109" s="4" t="s">
        <v>154</v>
      </c>
      <c r="D109" s="9">
        <f ca="1">'1ER PERIODOADMINISTRACION'!B15</f>
        <v>1</v>
      </c>
      <c r="E109" s="9">
        <f>'1ER PERIODOADMINISTRACION'!C15</f>
        <v>0</v>
      </c>
      <c r="F109" s="9" t="str">
        <f ca="1">'1ER PERIODOADMINISTRACION'!D15</f>
        <v>ASCENDENTE</v>
      </c>
      <c r="G109" s="9" t="str">
        <f ca="1">'1ER PERIODOADMINISTRACION'!E15</f>
        <v>BITACORA OPERATIVA</v>
      </c>
      <c r="H109" s="9">
        <f ca="1">'1ER PERIODOADMINISTRACION'!F15</f>
        <v>0</v>
      </c>
      <c r="I109" s="9">
        <f ca="1">'1ER PERIODOADMINISTRACION'!G15</f>
        <v>0</v>
      </c>
      <c r="J109" s="9">
        <f ca="1">'1ER PERIODOADMINISTRACION'!H15</f>
        <v>0</v>
      </c>
      <c r="K109" s="9">
        <f ca="1">'1ER PERIODOADMINISTRACION'!I15</f>
        <v>0</v>
      </c>
      <c r="L109" s="9">
        <f ca="1">'1ER PERIODOADMINISTRACION'!J15</f>
        <v>0</v>
      </c>
      <c r="M109" s="9">
        <f ca="1">'1ER PERIODOADMINISTRACION'!K15</f>
        <v>0</v>
      </c>
      <c r="N109" s="9">
        <f ca="1">'1ER PERIODOADMINISTRACION'!L15</f>
        <v>202</v>
      </c>
      <c r="O109" s="9">
        <f ca="1">'1ER PERIODOADMINISTRACION'!M15</f>
        <v>0</v>
      </c>
      <c r="P109" s="9">
        <f ca="1">'1ER PERIODOADMINISTRACION'!N15</f>
        <v>0</v>
      </c>
      <c r="Q109" s="9">
        <f ca="1">'1ER PERIODOADMINISTRACION'!O15</f>
        <v>0</v>
      </c>
      <c r="R109" s="9">
        <f ca="1">'1ER PERIODOADMINISTRACION'!P15</f>
        <v>0</v>
      </c>
      <c r="S109" s="9">
        <f ca="1">'1ER PERIODOADMINISTRACION'!Q15</f>
        <v>0</v>
      </c>
      <c r="T109" s="9">
        <f ca="1">'1ER PERIODOADMINISTRACION'!R15</f>
        <v>0</v>
      </c>
      <c r="U109" s="9">
        <f ca="1">'1ER PERIODOADMINISTRACION'!S15</f>
        <v>202</v>
      </c>
    </row>
    <row r="110" spans="1:21" ht="39.75" customHeight="1">
      <c r="A110" s="30"/>
      <c r="B110" s="30"/>
      <c r="C110" s="4" t="s">
        <v>155</v>
      </c>
      <c r="D110" s="9">
        <f ca="1">'1ER PERIODOADMINISTRACION'!B16</f>
        <v>1</v>
      </c>
      <c r="E110" s="9">
        <f>'1ER PERIODOADMINISTRACION'!C16</f>
        <v>0</v>
      </c>
      <c r="F110" s="9" t="str">
        <f ca="1">'1ER PERIODOADMINISTRACION'!D16</f>
        <v>ASCENDENTE</v>
      </c>
      <c r="G110" s="9" t="str">
        <f ca="1">'1ER PERIODOADMINISTRACION'!E16</f>
        <v>BITACORA OPERATIVA</v>
      </c>
      <c r="H110" s="9">
        <f ca="1">'1ER PERIODOADMINISTRACION'!F16</f>
        <v>0</v>
      </c>
      <c r="I110" s="9">
        <f ca="1">'1ER PERIODOADMINISTRACION'!G16</f>
        <v>0</v>
      </c>
      <c r="J110" s="9">
        <f ca="1">'1ER PERIODOADMINISTRACION'!H16</f>
        <v>0</v>
      </c>
      <c r="K110" s="9">
        <f ca="1">'1ER PERIODOADMINISTRACION'!I16</f>
        <v>0</v>
      </c>
      <c r="L110" s="9">
        <f ca="1">'1ER PERIODOADMINISTRACION'!J16</f>
        <v>0</v>
      </c>
      <c r="M110" s="9">
        <f ca="1">'1ER PERIODOADMINISTRACION'!K16</f>
        <v>0</v>
      </c>
      <c r="N110" s="9">
        <f ca="1">'1ER PERIODOADMINISTRACION'!L16</f>
        <v>0</v>
      </c>
      <c r="O110" s="9">
        <f ca="1">'1ER PERIODOADMINISTRACION'!M16</f>
        <v>0</v>
      </c>
      <c r="P110" s="9">
        <f ca="1">'1ER PERIODOADMINISTRACION'!N16</f>
        <v>0</v>
      </c>
      <c r="Q110" s="9">
        <f ca="1">'1ER PERIODOADMINISTRACION'!O16</f>
        <v>0</v>
      </c>
      <c r="R110" s="9">
        <f ca="1">'1ER PERIODOADMINISTRACION'!P16</f>
        <v>0</v>
      </c>
      <c r="S110" s="9">
        <f ca="1">'1ER PERIODOADMINISTRACION'!Q16</f>
        <v>0</v>
      </c>
      <c r="T110" s="9">
        <f ca="1">'1ER PERIODOADMINISTRACION'!R16</f>
        <v>0</v>
      </c>
      <c r="U110" s="9">
        <f ca="1">'1ER PERIODOADMINISTRACION'!S16</f>
        <v>0</v>
      </c>
    </row>
    <row r="111" spans="1:21" ht="39.75" customHeight="1">
      <c r="A111" s="30"/>
      <c r="B111" s="30"/>
      <c r="C111" s="4" t="s">
        <v>156</v>
      </c>
      <c r="D111" s="9">
        <f ca="1">'1ER PERIODOADMINISTRACION'!B17</f>
        <v>1</v>
      </c>
      <c r="E111" s="9">
        <f>'1ER PERIODOADMINISTRACION'!C17</f>
        <v>0</v>
      </c>
      <c r="F111" s="9" t="str">
        <f ca="1">'1ER PERIODOADMINISTRACION'!D17</f>
        <v>ASCENDENTE</v>
      </c>
      <c r="G111" s="9" t="str">
        <f ca="1">'1ER PERIODOADMINISTRACION'!E17</f>
        <v>BITACORA OPERATIVA</v>
      </c>
      <c r="H111" s="9">
        <f ca="1">'1ER PERIODOADMINISTRACION'!F17</f>
        <v>0</v>
      </c>
      <c r="I111" s="9">
        <f ca="1">'1ER PERIODOADMINISTRACION'!G17</f>
        <v>0</v>
      </c>
      <c r="J111" s="9">
        <f ca="1">'1ER PERIODOADMINISTRACION'!H17</f>
        <v>0</v>
      </c>
      <c r="K111" s="9">
        <f ca="1">'1ER PERIODOADMINISTRACION'!I17</f>
        <v>0</v>
      </c>
      <c r="L111" s="9">
        <f ca="1">'1ER PERIODOADMINISTRACION'!J17</f>
        <v>33</v>
      </c>
      <c r="M111" s="9">
        <f ca="1">'1ER PERIODOADMINISTRACION'!K17</f>
        <v>97</v>
      </c>
      <c r="N111" s="9">
        <f ca="1">'1ER PERIODOADMINISTRACION'!L17</f>
        <v>52</v>
      </c>
      <c r="O111" s="9">
        <f ca="1">'1ER PERIODOADMINISTRACION'!M17</f>
        <v>0</v>
      </c>
      <c r="P111" s="9">
        <f ca="1">'1ER PERIODOADMINISTRACION'!N17</f>
        <v>0</v>
      </c>
      <c r="Q111" s="9">
        <f ca="1">'1ER PERIODOADMINISTRACION'!O17</f>
        <v>0</v>
      </c>
      <c r="R111" s="9">
        <f ca="1">'1ER PERIODOADMINISTRACION'!P17</f>
        <v>0</v>
      </c>
      <c r="S111" s="9">
        <f ca="1">'1ER PERIODOADMINISTRACION'!Q17</f>
        <v>0</v>
      </c>
      <c r="T111" s="9">
        <f ca="1">'1ER PERIODOADMINISTRACION'!R17</f>
        <v>0</v>
      </c>
      <c r="U111" s="9">
        <f ca="1">'1ER PERIODOADMINISTRACION'!S17</f>
        <v>182</v>
      </c>
    </row>
    <row r="112" spans="1:21" ht="39.75" customHeight="1">
      <c r="A112" s="30"/>
      <c r="B112" s="30"/>
      <c r="C112" s="4" t="s">
        <v>157</v>
      </c>
      <c r="D112" s="9">
        <f ca="1">'1ER PERIODOADMINISTRACION'!B18</f>
        <v>1</v>
      </c>
      <c r="E112" s="9">
        <f>'1ER PERIODOADMINISTRACION'!C18</f>
        <v>0</v>
      </c>
      <c r="F112" s="9" t="str">
        <f ca="1">'1ER PERIODOADMINISTRACION'!D18</f>
        <v>ASCENDENTE</v>
      </c>
      <c r="G112" s="9" t="str">
        <f ca="1">'1ER PERIODOADMINISTRACION'!E18</f>
        <v>BITACORA OPERATIVA</v>
      </c>
      <c r="H112" s="9">
        <f ca="1">'1ER PERIODOADMINISTRACION'!F18</f>
        <v>0</v>
      </c>
      <c r="I112" s="9">
        <f ca="1">'1ER PERIODOADMINISTRACION'!G18</f>
        <v>0</v>
      </c>
      <c r="J112" s="9">
        <f ca="1">'1ER PERIODOADMINISTRACION'!H18</f>
        <v>0</v>
      </c>
      <c r="K112" s="9">
        <f ca="1">'1ER PERIODOADMINISTRACION'!I18</f>
        <v>0</v>
      </c>
      <c r="L112" s="9">
        <f ca="1">'1ER PERIODOADMINISTRACION'!J18</f>
        <v>0</v>
      </c>
      <c r="M112" s="9">
        <f ca="1">'1ER PERIODOADMINISTRACION'!K18</f>
        <v>0</v>
      </c>
      <c r="N112" s="9">
        <f ca="1">'1ER PERIODOADMINISTRACION'!L18</f>
        <v>0</v>
      </c>
      <c r="O112" s="9">
        <f ca="1">'1ER PERIODOADMINISTRACION'!M18</f>
        <v>0</v>
      </c>
      <c r="P112" s="9">
        <f ca="1">'1ER PERIODOADMINISTRACION'!N18</f>
        <v>0</v>
      </c>
      <c r="Q112" s="9">
        <f ca="1">'1ER PERIODOADMINISTRACION'!O18</f>
        <v>0</v>
      </c>
      <c r="R112" s="9">
        <f ca="1">'1ER PERIODOADMINISTRACION'!P18</f>
        <v>0</v>
      </c>
      <c r="S112" s="9">
        <f ca="1">'1ER PERIODOADMINISTRACION'!Q18</f>
        <v>0</v>
      </c>
      <c r="T112" s="9">
        <f ca="1">'1ER PERIODOADMINISTRACION'!R18</f>
        <v>0</v>
      </c>
      <c r="U112" s="9">
        <f ca="1">'1ER PERIODOADMINISTRACION'!S18</f>
        <v>0</v>
      </c>
    </row>
    <row r="113" spans="1:21" ht="39.75" customHeight="1">
      <c r="A113" s="30"/>
      <c r="B113" s="30"/>
      <c r="C113" s="4" t="s">
        <v>158</v>
      </c>
      <c r="D113" s="9">
        <f ca="1">'1ER PERIODOADMINISTRACION'!B19</f>
        <v>1</v>
      </c>
      <c r="E113" s="9">
        <f>'1ER PERIODOADMINISTRACION'!C19</f>
        <v>0</v>
      </c>
      <c r="F113" s="9" t="str">
        <f ca="1">'1ER PERIODOADMINISTRACION'!D19</f>
        <v>ASCENDENTE</v>
      </c>
      <c r="G113" s="9" t="str">
        <f ca="1">'1ER PERIODOADMINISTRACION'!E19</f>
        <v>BITACORA OPERATIVA</v>
      </c>
      <c r="H113" s="9">
        <f ca="1">'1ER PERIODOADMINISTRACION'!F19</f>
        <v>0</v>
      </c>
      <c r="I113" s="9">
        <f ca="1">'1ER PERIODOADMINISTRACION'!G19</f>
        <v>0</v>
      </c>
      <c r="J113" s="9">
        <f ca="1">'1ER PERIODOADMINISTRACION'!H19</f>
        <v>0</v>
      </c>
      <c r="K113" s="9">
        <f ca="1">'1ER PERIODOADMINISTRACION'!I19</f>
        <v>0</v>
      </c>
      <c r="L113" s="9">
        <f ca="1">'1ER PERIODOADMINISTRACION'!J19</f>
        <v>1</v>
      </c>
      <c r="M113" s="9">
        <f ca="1">'1ER PERIODOADMINISTRACION'!K19</f>
        <v>0</v>
      </c>
      <c r="N113" s="9">
        <f ca="1">'1ER PERIODOADMINISTRACION'!L19</f>
        <v>0</v>
      </c>
      <c r="O113" s="9">
        <f ca="1">'1ER PERIODOADMINISTRACION'!M19</f>
        <v>0</v>
      </c>
      <c r="P113" s="9">
        <f ca="1">'1ER PERIODOADMINISTRACION'!N19</f>
        <v>0</v>
      </c>
      <c r="Q113" s="9">
        <f ca="1">'1ER PERIODOADMINISTRACION'!O19</f>
        <v>0</v>
      </c>
      <c r="R113" s="9">
        <f ca="1">'1ER PERIODOADMINISTRACION'!P19</f>
        <v>0</v>
      </c>
      <c r="S113" s="9">
        <f ca="1">'1ER PERIODOADMINISTRACION'!Q19</f>
        <v>0</v>
      </c>
      <c r="T113" s="9">
        <f ca="1">'1ER PERIODOADMINISTRACION'!R19</f>
        <v>0</v>
      </c>
      <c r="U113" s="9">
        <f ca="1">'1ER PERIODOADMINISTRACION'!S19</f>
        <v>1</v>
      </c>
    </row>
    <row r="114" spans="1:21" ht="39.75" customHeight="1">
      <c r="A114" s="30"/>
      <c r="B114" s="30"/>
      <c r="C114" s="4" t="s">
        <v>159</v>
      </c>
      <c r="D114" s="9">
        <f ca="1">'1ER PERIODOADMINISTRACION'!B20</f>
        <v>1</v>
      </c>
      <c r="E114" s="9">
        <f>'1ER PERIODOADMINISTRACION'!C20</f>
        <v>0</v>
      </c>
      <c r="F114" s="9" t="str">
        <f ca="1">'1ER PERIODOADMINISTRACION'!D20</f>
        <v>ASCENDENTE</v>
      </c>
      <c r="G114" s="9" t="str">
        <f ca="1">'1ER PERIODOADMINISTRACION'!E20</f>
        <v>BITACORA OPERATIVA</v>
      </c>
      <c r="H114" s="9">
        <f ca="1">'1ER PERIODOADMINISTRACION'!F20</f>
        <v>0</v>
      </c>
      <c r="I114" s="9">
        <f ca="1">'1ER PERIODOADMINISTRACION'!G20</f>
        <v>0</v>
      </c>
      <c r="J114" s="9">
        <f ca="1">'1ER PERIODOADMINISTRACION'!H20</f>
        <v>0</v>
      </c>
      <c r="K114" s="9">
        <f ca="1">'1ER PERIODOADMINISTRACION'!I20</f>
        <v>0</v>
      </c>
      <c r="L114" s="9">
        <f ca="1">'1ER PERIODOADMINISTRACION'!J20</f>
        <v>0</v>
      </c>
      <c r="M114" s="9">
        <f ca="1">'1ER PERIODOADMINISTRACION'!K20</f>
        <v>0</v>
      </c>
      <c r="N114" s="9">
        <f ca="1">'1ER PERIODOADMINISTRACION'!L20</f>
        <v>0</v>
      </c>
      <c r="O114" s="9">
        <f ca="1">'1ER PERIODOADMINISTRACION'!M20</f>
        <v>0</v>
      </c>
      <c r="P114" s="9">
        <f ca="1">'1ER PERIODOADMINISTRACION'!N20</f>
        <v>0</v>
      </c>
      <c r="Q114" s="9">
        <f ca="1">'1ER PERIODOADMINISTRACION'!O20</f>
        <v>0</v>
      </c>
      <c r="R114" s="9">
        <f ca="1">'1ER PERIODOADMINISTRACION'!P20</f>
        <v>0</v>
      </c>
      <c r="S114" s="9">
        <f ca="1">'1ER PERIODOADMINISTRACION'!Q20</f>
        <v>0</v>
      </c>
      <c r="T114" s="9">
        <f ca="1">'1ER PERIODOADMINISTRACION'!R20</f>
        <v>0</v>
      </c>
      <c r="U114" s="9">
        <f ca="1">'1ER PERIODOADMINISTRACION'!S20</f>
        <v>0</v>
      </c>
    </row>
    <row r="115" spans="1:21" ht="39.75" customHeight="1">
      <c r="A115" s="30"/>
      <c r="B115" s="30"/>
      <c r="C115" s="4" t="s">
        <v>160</v>
      </c>
      <c r="D115" s="9">
        <f ca="1">'1ER PERIODOADMINISTRACION'!B21</f>
        <v>1</v>
      </c>
      <c r="E115" s="9">
        <f>'1ER PERIODOADMINISTRACION'!C21</f>
        <v>0</v>
      </c>
      <c r="F115" s="9" t="str">
        <f ca="1">'1ER PERIODOADMINISTRACION'!D21</f>
        <v>ASCENDENTE</v>
      </c>
      <c r="G115" s="9" t="str">
        <f ca="1">'1ER PERIODOADMINISTRACION'!E21</f>
        <v>BITACORA OPERATIVA</v>
      </c>
      <c r="H115" s="9">
        <f ca="1">'1ER PERIODOADMINISTRACION'!F21</f>
        <v>0</v>
      </c>
      <c r="I115" s="9">
        <f ca="1">'1ER PERIODOADMINISTRACION'!G21</f>
        <v>0</v>
      </c>
      <c r="J115" s="9">
        <f ca="1">'1ER PERIODOADMINISTRACION'!H21</f>
        <v>0</v>
      </c>
      <c r="K115" s="9">
        <f ca="1">'1ER PERIODOADMINISTRACION'!I21</f>
        <v>0</v>
      </c>
      <c r="L115" s="9">
        <f ca="1">'1ER PERIODOADMINISTRACION'!J21</f>
        <v>1</v>
      </c>
      <c r="M115" s="9">
        <f ca="1">'1ER PERIODOADMINISTRACION'!K21</f>
        <v>0</v>
      </c>
      <c r="N115" s="9">
        <f ca="1">'1ER PERIODOADMINISTRACION'!L21</f>
        <v>0</v>
      </c>
      <c r="O115" s="9">
        <f ca="1">'1ER PERIODOADMINISTRACION'!M21</f>
        <v>0</v>
      </c>
      <c r="P115" s="9">
        <f ca="1">'1ER PERIODOADMINISTRACION'!N21</f>
        <v>0</v>
      </c>
      <c r="Q115" s="9">
        <f ca="1">'1ER PERIODOADMINISTRACION'!O21</f>
        <v>0</v>
      </c>
      <c r="R115" s="9">
        <f ca="1">'1ER PERIODOADMINISTRACION'!P21</f>
        <v>0</v>
      </c>
      <c r="S115" s="9">
        <f ca="1">'1ER PERIODOADMINISTRACION'!Q21</f>
        <v>0</v>
      </c>
      <c r="T115" s="9">
        <f ca="1">'1ER PERIODOADMINISTRACION'!R21</f>
        <v>0</v>
      </c>
      <c r="U115" s="9">
        <f ca="1">'1ER PERIODOADMINISTRACION'!S21</f>
        <v>1</v>
      </c>
    </row>
    <row r="116" spans="1:21" ht="39.75" customHeight="1">
      <c r="A116" s="30"/>
      <c r="B116" s="30"/>
      <c r="C116" s="4" t="s">
        <v>161</v>
      </c>
      <c r="D116" s="9">
        <f ca="1">'1ER PERIODOADMINISTRACION'!B22</f>
        <v>1</v>
      </c>
      <c r="E116" s="9">
        <f>'1ER PERIODOADMINISTRACION'!C22</f>
        <v>0</v>
      </c>
      <c r="F116" s="9" t="str">
        <f ca="1">'1ER PERIODOADMINISTRACION'!D22</f>
        <v>ASCENDENTE</v>
      </c>
      <c r="G116" s="9" t="str">
        <f ca="1">'1ER PERIODOADMINISTRACION'!E22</f>
        <v>BITACORA OPERATIVA</v>
      </c>
      <c r="H116" s="9">
        <f ca="1">'1ER PERIODOADMINISTRACION'!F22</f>
        <v>0</v>
      </c>
      <c r="I116" s="9">
        <f ca="1">'1ER PERIODOADMINISTRACION'!G22</f>
        <v>0</v>
      </c>
      <c r="J116" s="9">
        <f ca="1">'1ER PERIODOADMINISTRACION'!H22</f>
        <v>0</v>
      </c>
      <c r="K116" s="9">
        <f ca="1">'1ER PERIODOADMINISTRACION'!I22</f>
        <v>0</v>
      </c>
      <c r="L116" s="9">
        <f ca="1">'1ER PERIODOADMINISTRACION'!J22</f>
        <v>0</v>
      </c>
      <c r="M116" s="9">
        <f ca="1">'1ER PERIODOADMINISTRACION'!K22</f>
        <v>0</v>
      </c>
      <c r="N116" s="9">
        <f ca="1">'1ER PERIODOADMINISTRACION'!L22</f>
        <v>0</v>
      </c>
      <c r="O116" s="9">
        <f ca="1">'1ER PERIODOADMINISTRACION'!M22</f>
        <v>0</v>
      </c>
      <c r="P116" s="9">
        <f ca="1">'1ER PERIODOADMINISTRACION'!N22</f>
        <v>0</v>
      </c>
      <c r="Q116" s="9">
        <f ca="1">'1ER PERIODOADMINISTRACION'!O22</f>
        <v>0</v>
      </c>
      <c r="R116" s="9">
        <f ca="1">'1ER PERIODOADMINISTRACION'!P22</f>
        <v>0</v>
      </c>
      <c r="S116" s="9">
        <f ca="1">'1ER PERIODOADMINISTRACION'!Q22</f>
        <v>0</v>
      </c>
      <c r="T116" s="9">
        <f ca="1">'1ER PERIODOADMINISTRACION'!R22</f>
        <v>0</v>
      </c>
      <c r="U116" s="9">
        <f ca="1">'1ER PERIODOADMINISTRACION'!S22</f>
        <v>0</v>
      </c>
    </row>
    <row r="117" spans="1:21" ht="39.75" customHeight="1">
      <c r="A117" s="30"/>
      <c r="B117" s="30"/>
      <c r="C117" s="4" t="s">
        <v>162</v>
      </c>
      <c r="D117" s="9">
        <f ca="1">'1ER PERIODOADMINISTRACION'!B23</f>
        <v>1</v>
      </c>
      <c r="E117" s="9">
        <f>'1ER PERIODOADMINISTRACION'!C23</f>
        <v>0</v>
      </c>
      <c r="F117" s="9" t="str">
        <f ca="1">'1ER PERIODOADMINISTRACION'!D23</f>
        <v>ASCENDENTE</v>
      </c>
      <c r="G117" s="9" t="str">
        <f ca="1">'1ER PERIODOADMINISTRACION'!E23</f>
        <v>BITACORA OPERATIVA</v>
      </c>
      <c r="H117" s="9">
        <f ca="1">'1ER PERIODOADMINISTRACION'!F23</f>
        <v>0</v>
      </c>
      <c r="I117" s="9">
        <f ca="1">'1ER PERIODOADMINISTRACION'!G23</f>
        <v>0</v>
      </c>
      <c r="J117" s="9">
        <f ca="1">'1ER PERIODOADMINISTRACION'!H23</f>
        <v>0</v>
      </c>
      <c r="K117" s="9">
        <f ca="1">'1ER PERIODOADMINISTRACION'!I23</f>
        <v>0</v>
      </c>
      <c r="L117" s="9">
        <f ca="1">'1ER PERIODOADMINISTRACION'!J23</f>
        <v>23</v>
      </c>
      <c r="M117" s="9">
        <f ca="1">'1ER PERIODOADMINISTRACION'!K23</f>
        <v>0</v>
      </c>
      <c r="N117" s="9">
        <f ca="1">'1ER PERIODOADMINISTRACION'!L23</f>
        <v>1</v>
      </c>
      <c r="O117" s="9">
        <f ca="1">'1ER PERIODOADMINISTRACION'!M23</f>
        <v>0</v>
      </c>
      <c r="P117" s="9">
        <f ca="1">'1ER PERIODOADMINISTRACION'!N23</f>
        <v>0</v>
      </c>
      <c r="Q117" s="9">
        <f ca="1">'1ER PERIODOADMINISTRACION'!O23</f>
        <v>0</v>
      </c>
      <c r="R117" s="9">
        <f ca="1">'1ER PERIODOADMINISTRACION'!P23</f>
        <v>0</v>
      </c>
      <c r="S117" s="9">
        <f ca="1">'1ER PERIODOADMINISTRACION'!Q23</f>
        <v>0</v>
      </c>
      <c r="T117" s="9">
        <f ca="1">'1ER PERIODOADMINISTRACION'!R23</f>
        <v>0</v>
      </c>
      <c r="U117" s="9">
        <f ca="1">'1ER PERIODOADMINISTRACION'!S23</f>
        <v>24</v>
      </c>
    </row>
    <row r="118" spans="1:21" ht="39.75" customHeight="1">
      <c r="A118" s="30"/>
      <c r="B118" s="31"/>
      <c r="C118" s="4" t="s">
        <v>163</v>
      </c>
      <c r="D118" s="9">
        <f ca="1">'1ER PERIODOADMINISTRACION'!B24</f>
        <v>1</v>
      </c>
      <c r="E118" s="9">
        <f>'1ER PERIODOADMINISTRACION'!C24</f>
        <v>0</v>
      </c>
      <c r="F118" s="9" t="str">
        <f ca="1">'1ER PERIODOADMINISTRACION'!D24</f>
        <v>ASCENDENTE</v>
      </c>
      <c r="G118" s="9" t="str">
        <f ca="1">'1ER PERIODOADMINISTRACION'!E24</f>
        <v>BITACORA OPERATIVA</v>
      </c>
      <c r="H118" s="9">
        <f ca="1">'1ER PERIODOADMINISTRACION'!F24</f>
        <v>0</v>
      </c>
      <c r="I118" s="9">
        <f ca="1">'1ER PERIODOADMINISTRACION'!G24</f>
        <v>0</v>
      </c>
      <c r="J118" s="9">
        <f ca="1">'1ER PERIODOADMINISTRACION'!H24</f>
        <v>0</v>
      </c>
      <c r="K118" s="9">
        <f ca="1">'1ER PERIODOADMINISTRACION'!I24</f>
        <v>0</v>
      </c>
      <c r="L118" s="9">
        <f ca="1">'1ER PERIODOADMINISTRACION'!J24</f>
        <v>50</v>
      </c>
      <c r="M118" s="9">
        <f ca="1">'1ER PERIODOADMINISTRACION'!K24</f>
        <v>0</v>
      </c>
      <c r="N118" s="9">
        <f ca="1">'1ER PERIODOADMINISTRACION'!L24</f>
        <v>0</v>
      </c>
      <c r="O118" s="9">
        <f ca="1">'1ER PERIODOADMINISTRACION'!M24</f>
        <v>0</v>
      </c>
      <c r="P118" s="9">
        <f ca="1">'1ER PERIODOADMINISTRACION'!N24</f>
        <v>0</v>
      </c>
      <c r="Q118" s="9">
        <f ca="1">'1ER PERIODOADMINISTRACION'!O24</f>
        <v>0</v>
      </c>
      <c r="R118" s="9">
        <f ca="1">'1ER PERIODOADMINISTRACION'!P24</f>
        <v>0</v>
      </c>
      <c r="S118" s="9">
        <f ca="1">'1ER PERIODOADMINISTRACION'!Q24</f>
        <v>0</v>
      </c>
      <c r="T118" s="9">
        <f ca="1">'1ER PERIODOADMINISTRACION'!R24</f>
        <v>0</v>
      </c>
      <c r="U118" s="9">
        <f ca="1">'1ER PERIODOADMINISTRACION'!S24</f>
        <v>50</v>
      </c>
    </row>
    <row r="119" spans="1:21" ht="39.75" customHeight="1">
      <c r="A119" s="30"/>
      <c r="B119" s="29" t="s">
        <v>164</v>
      </c>
      <c r="C119" s="4" t="s">
        <v>165</v>
      </c>
      <c r="D119" s="9">
        <f ca="1">'1ER PERIODOADMINISTRACION'!B25</f>
        <v>1</v>
      </c>
      <c r="E119" s="9">
        <f>'1ER PERIODOADMINISTRACION'!C25</f>
        <v>0</v>
      </c>
      <c r="F119" s="9" t="str">
        <f ca="1">'1ER PERIODOADMINISTRACION'!D25</f>
        <v>ASCENDENTE</v>
      </c>
      <c r="G119" s="9" t="str">
        <f ca="1">'1ER PERIODOADMINISTRACION'!E25</f>
        <v>BITACORA OPERATIVA</v>
      </c>
      <c r="H119" s="9">
        <f ca="1">'1ER PERIODOADMINISTRACION'!F25</f>
        <v>0</v>
      </c>
      <c r="I119" s="9">
        <f ca="1">'1ER PERIODOADMINISTRACION'!G25</f>
        <v>0</v>
      </c>
      <c r="J119" s="9">
        <f ca="1">'1ER PERIODOADMINISTRACION'!H25</f>
        <v>0</v>
      </c>
      <c r="K119" s="9">
        <f ca="1">'1ER PERIODOADMINISTRACION'!I25</f>
        <v>0</v>
      </c>
      <c r="L119" s="9">
        <f ca="1">'1ER PERIODOADMINISTRACION'!J25</f>
        <v>0</v>
      </c>
      <c r="M119" s="9">
        <f ca="1">'1ER PERIODOADMINISTRACION'!K25</f>
        <v>757</v>
      </c>
      <c r="N119" s="9">
        <f ca="1">'1ER PERIODOADMINISTRACION'!L25</f>
        <v>761</v>
      </c>
      <c r="O119" s="9">
        <f ca="1">'1ER PERIODOADMINISTRACION'!M25</f>
        <v>0</v>
      </c>
      <c r="P119" s="9">
        <f ca="1">'1ER PERIODOADMINISTRACION'!N25</f>
        <v>0</v>
      </c>
      <c r="Q119" s="9">
        <f ca="1">'1ER PERIODOADMINISTRACION'!O25</f>
        <v>0</v>
      </c>
      <c r="R119" s="9">
        <f ca="1">'1ER PERIODOADMINISTRACION'!P25</f>
        <v>0</v>
      </c>
      <c r="S119" s="9">
        <f ca="1">'1ER PERIODOADMINISTRACION'!Q25</f>
        <v>0</v>
      </c>
      <c r="T119" s="9">
        <f ca="1">'1ER PERIODOADMINISTRACION'!R25</f>
        <v>0</v>
      </c>
      <c r="U119" s="9">
        <f ca="1">'1ER PERIODOADMINISTRACION'!S25</f>
        <v>1518</v>
      </c>
    </row>
    <row r="120" spans="1:21" ht="39.75" customHeight="1">
      <c r="A120" s="30"/>
      <c r="B120" s="30"/>
      <c r="C120" s="4" t="s">
        <v>166</v>
      </c>
      <c r="D120" s="9">
        <f ca="1">'1ER PERIODOADMINISTRACION'!B26</f>
        <v>1</v>
      </c>
      <c r="E120" s="9">
        <f>'1ER PERIODOADMINISTRACION'!C26</f>
        <v>0</v>
      </c>
      <c r="F120" s="9" t="str">
        <f ca="1">'1ER PERIODOADMINISTRACION'!D26</f>
        <v>ASCENDENTE</v>
      </c>
      <c r="G120" s="9" t="str">
        <f ca="1">'1ER PERIODOADMINISTRACION'!E26</f>
        <v>BITACORA OPERATIVA</v>
      </c>
      <c r="H120" s="9">
        <f ca="1">'1ER PERIODOADMINISTRACION'!F26</f>
        <v>0</v>
      </c>
      <c r="I120" s="9">
        <f ca="1">'1ER PERIODOADMINISTRACION'!G26</f>
        <v>0</v>
      </c>
      <c r="J120" s="9">
        <f ca="1">'1ER PERIODOADMINISTRACION'!H26</f>
        <v>0</v>
      </c>
      <c r="K120" s="9">
        <f ca="1">'1ER PERIODOADMINISTRACION'!I26</f>
        <v>0</v>
      </c>
      <c r="L120" s="9">
        <f ca="1">'1ER PERIODOADMINISTRACION'!J26</f>
        <v>0</v>
      </c>
      <c r="M120" s="9">
        <f ca="1">'1ER PERIODOADMINISTRACION'!K26</f>
        <v>519</v>
      </c>
      <c r="N120" s="9">
        <f ca="1">'1ER PERIODOADMINISTRACION'!L26</f>
        <v>524</v>
      </c>
      <c r="O120" s="9">
        <f ca="1">'1ER PERIODOADMINISTRACION'!M26</f>
        <v>0</v>
      </c>
      <c r="P120" s="9">
        <f ca="1">'1ER PERIODOADMINISTRACION'!N26</f>
        <v>0</v>
      </c>
      <c r="Q120" s="9">
        <f ca="1">'1ER PERIODOADMINISTRACION'!O26</f>
        <v>0</v>
      </c>
      <c r="R120" s="9">
        <f ca="1">'1ER PERIODOADMINISTRACION'!P26</f>
        <v>0</v>
      </c>
      <c r="S120" s="9">
        <f ca="1">'1ER PERIODOADMINISTRACION'!Q26</f>
        <v>0</v>
      </c>
      <c r="T120" s="9">
        <f ca="1">'1ER PERIODOADMINISTRACION'!R26</f>
        <v>0</v>
      </c>
      <c r="U120" s="9">
        <f ca="1">'1ER PERIODOADMINISTRACION'!S26</f>
        <v>1043</v>
      </c>
    </row>
    <row r="121" spans="1:21" ht="39.75" customHeight="1">
      <c r="A121" s="30"/>
      <c r="B121" s="30"/>
      <c r="C121" s="4" t="s">
        <v>167</v>
      </c>
      <c r="D121" s="9">
        <f ca="1">'1ER PERIODOADMINISTRACION'!B27</f>
        <v>1</v>
      </c>
      <c r="E121" s="9">
        <f>'1ER PERIODOADMINISTRACION'!C27</f>
        <v>0</v>
      </c>
      <c r="F121" s="9" t="str">
        <f ca="1">'1ER PERIODOADMINISTRACION'!D27</f>
        <v>ASCENDENTE</v>
      </c>
      <c r="G121" s="9" t="str">
        <f ca="1">'1ER PERIODOADMINISTRACION'!E27</f>
        <v>BITACORA OPERATIVA</v>
      </c>
      <c r="H121" s="9">
        <f ca="1">'1ER PERIODOADMINISTRACION'!F27</f>
        <v>0</v>
      </c>
      <c r="I121" s="9">
        <f ca="1">'1ER PERIODOADMINISTRACION'!G27</f>
        <v>0</v>
      </c>
      <c r="J121" s="9">
        <f ca="1">'1ER PERIODOADMINISTRACION'!H27</f>
        <v>0</v>
      </c>
      <c r="K121" s="9">
        <f ca="1">'1ER PERIODOADMINISTRACION'!I27</f>
        <v>0</v>
      </c>
      <c r="L121" s="9">
        <f ca="1">'1ER PERIODOADMINISTRACION'!J27</f>
        <v>0</v>
      </c>
      <c r="M121" s="9">
        <f ca="1">'1ER PERIODOADMINISTRACION'!K27</f>
        <v>238</v>
      </c>
      <c r="N121" s="9">
        <f ca="1">'1ER PERIODOADMINISTRACION'!L27</f>
        <v>237</v>
      </c>
      <c r="O121" s="9">
        <f ca="1">'1ER PERIODOADMINISTRACION'!M27</f>
        <v>0</v>
      </c>
      <c r="P121" s="9">
        <f ca="1">'1ER PERIODOADMINISTRACION'!N27</f>
        <v>0</v>
      </c>
      <c r="Q121" s="9">
        <f ca="1">'1ER PERIODOADMINISTRACION'!O27</f>
        <v>0</v>
      </c>
      <c r="R121" s="9">
        <f ca="1">'1ER PERIODOADMINISTRACION'!P27</f>
        <v>0</v>
      </c>
      <c r="S121" s="9">
        <f ca="1">'1ER PERIODOADMINISTRACION'!Q27</f>
        <v>0</v>
      </c>
      <c r="T121" s="9">
        <f ca="1">'1ER PERIODOADMINISTRACION'!R27</f>
        <v>0</v>
      </c>
      <c r="U121" s="9">
        <f ca="1">'1ER PERIODOADMINISTRACION'!S27</f>
        <v>475</v>
      </c>
    </row>
    <row r="122" spans="1:21" ht="39.75" customHeight="1">
      <c r="A122" s="30"/>
      <c r="B122" s="30"/>
      <c r="C122" s="4" t="s">
        <v>168</v>
      </c>
      <c r="D122" s="9">
        <f ca="1">'1ER PERIODOADMINISTRACION'!B28</f>
        <v>1</v>
      </c>
      <c r="E122" s="9">
        <f>'1ER PERIODOADMINISTRACION'!C28</f>
        <v>0</v>
      </c>
      <c r="F122" s="9" t="str">
        <f ca="1">'1ER PERIODOADMINISTRACION'!D28</f>
        <v>ASCENDENTE</v>
      </c>
      <c r="G122" s="9" t="str">
        <f ca="1">'1ER PERIODOADMINISTRACION'!E28</f>
        <v>BITACORA OPERATIVA</v>
      </c>
      <c r="H122" s="9">
        <f ca="1">'1ER PERIODOADMINISTRACION'!F28</f>
        <v>0</v>
      </c>
      <c r="I122" s="9">
        <f ca="1">'1ER PERIODOADMINISTRACION'!G28</f>
        <v>0</v>
      </c>
      <c r="J122" s="9">
        <f ca="1">'1ER PERIODOADMINISTRACION'!H28</f>
        <v>0</v>
      </c>
      <c r="K122" s="9">
        <f ca="1">'1ER PERIODOADMINISTRACION'!I28</f>
        <v>0</v>
      </c>
      <c r="L122" s="9">
        <f ca="1">'1ER PERIODOADMINISTRACION'!J28</f>
        <v>0</v>
      </c>
      <c r="M122" s="9">
        <f ca="1">'1ER PERIODOADMINISTRACION'!K28</f>
        <v>26</v>
      </c>
      <c r="N122" s="9">
        <f ca="1">'1ER PERIODOADMINISTRACION'!L28</f>
        <v>22</v>
      </c>
      <c r="O122" s="9">
        <f ca="1">'1ER PERIODOADMINISTRACION'!M28</f>
        <v>0</v>
      </c>
      <c r="P122" s="9">
        <f ca="1">'1ER PERIODOADMINISTRACION'!N28</f>
        <v>0</v>
      </c>
      <c r="Q122" s="9">
        <f ca="1">'1ER PERIODOADMINISTRACION'!O28</f>
        <v>0</v>
      </c>
      <c r="R122" s="9">
        <f ca="1">'1ER PERIODOADMINISTRACION'!P28</f>
        <v>0</v>
      </c>
      <c r="S122" s="9">
        <f ca="1">'1ER PERIODOADMINISTRACION'!Q28</f>
        <v>0</v>
      </c>
      <c r="T122" s="9">
        <f ca="1">'1ER PERIODOADMINISTRACION'!R28</f>
        <v>0</v>
      </c>
      <c r="U122" s="9">
        <f ca="1">'1ER PERIODOADMINISTRACION'!S28</f>
        <v>48</v>
      </c>
    </row>
    <row r="123" spans="1:21" ht="39.75" customHeight="1">
      <c r="A123" s="30"/>
      <c r="B123" s="30"/>
      <c r="C123" s="4" t="s">
        <v>169</v>
      </c>
      <c r="D123" s="9">
        <f ca="1">'1ER PERIODOADMINISTRACION'!B29</f>
        <v>1</v>
      </c>
      <c r="E123" s="9">
        <f>'1ER PERIODOADMINISTRACION'!C29</f>
        <v>0</v>
      </c>
      <c r="F123" s="9" t="str">
        <f ca="1">'1ER PERIODOADMINISTRACION'!D29</f>
        <v>ASCENDENTE</v>
      </c>
      <c r="G123" s="9" t="str">
        <f ca="1">'1ER PERIODOADMINISTRACION'!E29</f>
        <v>BITACORA OPERATIVA</v>
      </c>
      <c r="H123" s="9">
        <f ca="1">'1ER PERIODOADMINISTRACION'!F29</f>
        <v>0</v>
      </c>
      <c r="I123" s="9">
        <f ca="1">'1ER PERIODOADMINISTRACION'!G29</f>
        <v>0</v>
      </c>
      <c r="J123" s="9">
        <f ca="1">'1ER PERIODOADMINISTRACION'!H29</f>
        <v>0</v>
      </c>
      <c r="K123" s="9">
        <f ca="1">'1ER PERIODOADMINISTRACION'!I29</f>
        <v>0</v>
      </c>
      <c r="L123" s="9">
        <f ca="1">'1ER PERIODOADMINISTRACION'!J29</f>
        <v>0</v>
      </c>
      <c r="M123" s="9">
        <f ca="1">'1ER PERIODOADMINISTRACION'!K29</f>
        <v>12</v>
      </c>
      <c r="N123" s="9">
        <f ca="1">'1ER PERIODOADMINISTRACION'!L29</f>
        <v>12</v>
      </c>
      <c r="O123" s="9">
        <f ca="1">'1ER PERIODOADMINISTRACION'!M29</f>
        <v>0</v>
      </c>
      <c r="P123" s="9">
        <f ca="1">'1ER PERIODOADMINISTRACION'!N29</f>
        <v>0</v>
      </c>
      <c r="Q123" s="9">
        <f ca="1">'1ER PERIODOADMINISTRACION'!O29</f>
        <v>0</v>
      </c>
      <c r="R123" s="9">
        <f ca="1">'1ER PERIODOADMINISTRACION'!P29</f>
        <v>0</v>
      </c>
      <c r="S123" s="9">
        <f ca="1">'1ER PERIODOADMINISTRACION'!Q29</f>
        <v>0</v>
      </c>
      <c r="T123" s="9">
        <f ca="1">'1ER PERIODOADMINISTRACION'!R29</f>
        <v>0</v>
      </c>
      <c r="U123" s="9">
        <f ca="1">'1ER PERIODOADMINISTRACION'!S29</f>
        <v>24</v>
      </c>
    </row>
    <row r="124" spans="1:21" ht="39.75" customHeight="1">
      <c r="A124" s="30"/>
      <c r="B124" s="30"/>
      <c r="C124" s="4" t="s">
        <v>170</v>
      </c>
      <c r="D124" s="9">
        <f ca="1">'1ER PERIODOADMINISTRACION'!B30</f>
        <v>1</v>
      </c>
      <c r="E124" s="9">
        <f>'1ER PERIODOADMINISTRACION'!C30</f>
        <v>0</v>
      </c>
      <c r="F124" s="9" t="str">
        <f ca="1">'1ER PERIODOADMINISTRACION'!D30</f>
        <v>ASCENDENTE</v>
      </c>
      <c r="G124" s="9" t="str">
        <f ca="1">'1ER PERIODOADMINISTRACION'!E30</f>
        <v>BITACORA OPERATIVA</v>
      </c>
      <c r="H124" s="9">
        <f ca="1">'1ER PERIODOADMINISTRACION'!F30</f>
        <v>0</v>
      </c>
      <c r="I124" s="9">
        <f ca="1">'1ER PERIODOADMINISTRACION'!G30</f>
        <v>0</v>
      </c>
      <c r="J124" s="9">
        <f ca="1">'1ER PERIODOADMINISTRACION'!H30</f>
        <v>0</v>
      </c>
      <c r="K124" s="9">
        <f ca="1">'1ER PERIODOADMINISTRACION'!I30</f>
        <v>0</v>
      </c>
      <c r="L124" s="9">
        <f ca="1">'1ER PERIODOADMINISTRACION'!J30</f>
        <v>0</v>
      </c>
      <c r="M124" s="9">
        <f ca="1">'1ER PERIODOADMINISTRACION'!K30</f>
        <v>18</v>
      </c>
      <c r="N124" s="9">
        <f ca="1">'1ER PERIODOADMINISTRACION'!L30</f>
        <v>15</v>
      </c>
      <c r="O124" s="9">
        <f ca="1">'1ER PERIODOADMINISTRACION'!M30</f>
        <v>0</v>
      </c>
      <c r="P124" s="9">
        <f ca="1">'1ER PERIODOADMINISTRACION'!N30</f>
        <v>0</v>
      </c>
      <c r="Q124" s="9">
        <f ca="1">'1ER PERIODOADMINISTRACION'!O30</f>
        <v>0</v>
      </c>
      <c r="R124" s="9">
        <f ca="1">'1ER PERIODOADMINISTRACION'!P30</f>
        <v>0</v>
      </c>
      <c r="S124" s="9">
        <f ca="1">'1ER PERIODOADMINISTRACION'!Q30</f>
        <v>0</v>
      </c>
      <c r="T124" s="9">
        <f ca="1">'1ER PERIODOADMINISTRACION'!R30</f>
        <v>0</v>
      </c>
      <c r="U124" s="9">
        <f ca="1">'1ER PERIODOADMINISTRACION'!S30</f>
        <v>33</v>
      </c>
    </row>
    <row r="125" spans="1:21" ht="39.75" customHeight="1">
      <c r="A125" s="30"/>
      <c r="B125" s="30"/>
      <c r="C125" s="4" t="s">
        <v>171</v>
      </c>
      <c r="D125" s="9">
        <f ca="1">'1ER PERIODOADMINISTRACION'!B31</f>
        <v>1</v>
      </c>
      <c r="E125" s="9">
        <f>'1ER PERIODOADMINISTRACION'!C31</f>
        <v>0</v>
      </c>
      <c r="F125" s="9" t="str">
        <f ca="1">'1ER PERIODOADMINISTRACION'!D31</f>
        <v>ASCENDENTE</v>
      </c>
      <c r="G125" s="9" t="str">
        <f ca="1">'1ER PERIODOADMINISTRACION'!E31</f>
        <v>BITACORA OPERATIVA</v>
      </c>
      <c r="H125" s="9">
        <f ca="1">'1ER PERIODOADMINISTRACION'!F31</f>
        <v>0</v>
      </c>
      <c r="I125" s="9">
        <f ca="1">'1ER PERIODOADMINISTRACION'!G31</f>
        <v>0</v>
      </c>
      <c r="J125" s="9">
        <f ca="1">'1ER PERIODOADMINISTRACION'!H31</f>
        <v>0</v>
      </c>
      <c r="K125" s="9">
        <f ca="1">'1ER PERIODOADMINISTRACION'!I31</f>
        <v>0</v>
      </c>
      <c r="L125" s="9">
        <f ca="1">'1ER PERIODOADMINISTRACION'!J31</f>
        <v>0</v>
      </c>
      <c r="M125" s="9">
        <f ca="1">'1ER PERIODOADMINISTRACION'!K31</f>
        <v>18</v>
      </c>
      <c r="N125" s="9">
        <f ca="1">'1ER PERIODOADMINISTRACION'!L31</f>
        <v>18</v>
      </c>
      <c r="O125" s="9">
        <f ca="1">'1ER PERIODOADMINISTRACION'!M31</f>
        <v>0</v>
      </c>
      <c r="P125" s="9">
        <f ca="1">'1ER PERIODOADMINISTRACION'!N31</f>
        <v>0</v>
      </c>
      <c r="Q125" s="9">
        <f ca="1">'1ER PERIODOADMINISTRACION'!O31</f>
        <v>0</v>
      </c>
      <c r="R125" s="9">
        <f ca="1">'1ER PERIODOADMINISTRACION'!P31</f>
        <v>0</v>
      </c>
      <c r="S125" s="9">
        <f ca="1">'1ER PERIODOADMINISTRACION'!Q31</f>
        <v>0</v>
      </c>
      <c r="T125" s="9">
        <f ca="1">'1ER PERIODOADMINISTRACION'!R31</f>
        <v>0</v>
      </c>
      <c r="U125" s="9">
        <f ca="1">'1ER PERIODOADMINISTRACION'!S31</f>
        <v>36</v>
      </c>
    </row>
    <row r="126" spans="1:21" ht="39.75" customHeight="1">
      <c r="A126" s="30"/>
      <c r="B126" s="30"/>
      <c r="C126" s="4" t="s">
        <v>166</v>
      </c>
      <c r="D126" s="9">
        <f ca="1">'1ER PERIODOADMINISTRACION'!B32</f>
        <v>1</v>
      </c>
      <c r="E126" s="9">
        <f>'1ER PERIODOADMINISTRACION'!C32</f>
        <v>0</v>
      </c>
      <c r="F126" s="9" t="str">
        <f ca="1">'1ER PERIODOADMINISTRACION'!D32</f>
        <v>ASCENDENTE</v>
      </c>
      <c r="G126" s="9" t="str">
        <f ca="1">'1ER PERIODOADMINISTRACION'!E32</f>
        <v>BITACORA OPERATIVA</v>
      </c>
      <c r="H126" s="9">
        <f ca="1">'1ER PERIODOADMINISTRACION'!F32</f>
        <v>0</v>
      </c>
      <c r="I126" s="9">
        <f ca="1">'1ER PERIODOADMINISTRACION'!G32</f>
        <v>0</v>
      </c>
      <c r="J126" s="9">
        <f ca="1">'1ER PERIODOADMINISTRACION'!H32</f>
        <v>0</v>
      </c>
      <c r="K126" s="9">
        <f ca="1">'1ER PERIODOADMINISTRACION'!I32</f>
        <v>0</v>
      </c>
      <c r="L126" s="9">
        <f ca="1">'1ER PERIODOADMINISTRACION'!J32</f>
        <v>0</v>
      </c>
      <c r="M126" s="9">
        <f ca="1">'1ER PERIODOADMINISTRACION'!K32</f>
        <v>5</v>
      </c>
      <c r="N126" s="9">
        <f ca="1">'1ER PERIODOADMINISTRACION'!L32</f>
        <v>5</v>
      </c>
      <c r="O126" s="9">
        <f ca="1">'1ER PERIODOADMINISTRACION'!M32</f>
        <v>0</v>
      </c>
      <c r="P126" s="9">
        <f ca="1">'1ER PERIODOADMINISTRACION'!N32</f>
        <v>0</v>
      </c>
      <c r="Q126" s="9">
        <f ca="1">'1ER PERIODOADMINISTRACION'!O32</f>
        <v>0</v>
      </c>
      <c r="R126" s="9">
        <f ca="1">'1ER PERIODOADMINISTRACION'!P32</f>
        <v>0</v>
      </c>
      <c r="S126" s="9">
        <f ca="1">'1ER PERIODOADMINISTRACION'!Q32</f>
        <v>0</v>
      </c>
      <c r="T126" s="9">
        <f ca="1">'1ER PERIODOADMINISTRACION'!R32</f>
        <v>0</v>
      </c>
      <c r="U126" s="9">
        <f ca="1">'1ER PERIODOADMINISTRACION'!S32</f>
        <v>10</v>
      </c>
    </row>
    <row r="127" spans="1:21" ht="39.75" customHeight="1">
      <c r="A127" s="30"/>
      <c r="B127" s="30"/>
      <c r="C127" s="4" t="s">
        <v>167</v>
      </c>
      <c r="D127" s="9">
        <f ca="1">'1ER PERIODOADMINISTRACION'!B33</f>
        <v>1</v>
      </c>
      <c r="E127" s="9">
        <f>'1ER PERIODOADMINISTRACION'!C33</f>
        <v>0</v>
      </c>
      <c r="F127" s="9" t="str">
        <f ca="1">'1ER PERIODOADMINISTRACION'!D33</f>
        <v>ASCENDENTE</v>
      </c>
      <c r="G127" s="9" t="str">
        <f ca="1">'1ER PERIODOADMINISTRACION'!E33</f>
        <v>BITACORA OPERATIVA</v>
      </c>
      <c r="H127" s="9">
        <f ca="1">'1ER PERIODOADMINISTRACION'!F33</f>
        <v>0</v>
      </c>
      <c r="I127" s="9">
        <f ca="1">'1ER PERIODOADMINISTRACION'!G33</f>
        <v>0</v>
      </c>
      <c r="J127" s="9">
        <f ca="1">'1ER PERIODOADMINISTRACION'!H33</f>
        <v>0</v>
      </c>
      <c r="K127" s="9">
        <f ca="1">'1ER PERIODOADMINISTRACION'!I33</f>
        <v>0</v>
      </c>
      <c r="L127" s="9">
        <f ca="1">'1ER PERIODOADMINISTRACION'!J33</f>
        <v>0</v>
      </c>
      <c r="M127" s="9">
        <f ca="1">'1ER PERIODOADMINISTRACION'!K33</f>
        <v>102</v>
      </c>
      <c r="N127" s="9">
        <f ca="1">'1ER PERIODOADMINISTRACION'!L33</f>
        <v>103</v>
      </c>
      <c r="O127" s="9">
        <f ca="1">'1ER PERIODOADMINISTRACION'!M33</f>
        <v>0</v>
      </c>
      <c r="P127" s="9">
        <f ca="1">'1ER PERIODOADMINISTRACION'!N33</f>
        <v>0</v>
      </c>
      <c r="Q127" s="9">
        <f ca="1">'1ER PERIODOADMINISTRACION'!O33</f>
        <v>0</v>
      </c>
      <c r="R127" s="9">
        <f ca="1">'1ER PERIODOADMINISTRACION'!P33</f>
        <v>0</v>
      </c>
      <c r="S127" s="9">
        <f ca="1">'1ER PERIODOADMINISTRACION'!Q33</f>
        <v>0</v>
      </c>
      <c r="T127" s="9">
        <f ca="1">'1ER PERIODOADMINISTRACION'!R33</f>
        <v>0</v>
      </c>
      <c r="U127" s="9">
        <f ca="1">'1ER PERIODOADMINISTRACION'!S33</f>
        <v>205</v>
      </c>
    </row>
    <row r="128" spans="1:21" ht="39.75" customHeight="1">
      <c r="A128" s="30"/>
      <c r="B128" s="30"/>
      <c r="C128" s="4" t="s">
        <v>172</v>
      </c>
      <c r="D128" s="9">
        <f ca="1">'1ER PERIODOADMINISTRACION'!B34</f>
        <v>1</v>
      </c>
      <c r="E128" s="9">
        <f>'1ER PERIODOADMINISTRACION'!C34</f>
        <v>0</v>
      </c>
      <c r="F128" s="9" t="str">
        <f ca="1">'1ER PERIODOADMINISTRACION'!D34</f>
        <v>ASCENDENTE</v>
      </c>
      <c r="G128" s="9" t="str">
        <f ca="1">'1ER PERIODOADMINISTRACION'!E34</f>
        <v>BITACORA OPERATIVA</v>
      </c>
      <c r="H128" s="9">
        <f ca="1">'1ER PERIODOADMINISTRACION'!F34</f>
        <v>0</v>
      </c>
      <c r="I128" s="9">
        <f ca="1">'1ER PERIODOADMINISTRACION'!G34</f>
        <v>0</v>
      </c>
      <c r="J128" s="9">
        <f ca="1">'1ER PERIODOADMINISTRACION'!H34</f>
        <v>0</v>
      </c>
      <c r="K128" s="9">
        <f ca="1">'1ER PERIODOADMINISTRACION'!I34</f>
        <v>0</v>
      </c>
      <c r="L128" s="9">
        <f ca="1">'1ER PERIODOADMINISTRACION'!J34</f>
        <v>0</v>
      </c>
      <c r="M128" s="9">
        <f ca="1">'1ER PERIODOADMINISTRACION'!K34</f>
        <v>62</v>
      </c>
      <c r="N128" s="9">
        <f ca="1">'1ER PERIODOADMINISTRACION'!L34</f>
        <v>62</v>
      </c>
      <c r="O128" s="9">
        <f ca="1">'1ER PERIODOADMINISTRACION'!M34</f>
        <v>0</v>
      </c>
      <c r="P128" s="9">
        <f ca="1">'1ER PERIODOADMINISTRACION'!N34</f>
        <v>0</v>
      </c>
      <c r="Q128" s="9">
        <f ca="1">'1ER PERIODOADMINISTRACION'!O34</f>
        <v>0</v>
      </c>
      <c r="R128" s="9">
        <f ca="1">'1ER PERIODOADMINISTRACION'!P34</f>
        <v>0</v>
      </c>
      <c r="S128" s="9">
        <f ca="1">'1ER PERIODOADMINISTRACION'!Q34</f>
        <v>0</v>
      </c>
      <c r="T128" s="9">
        <f ca="1">'1ER PERIODOADMINISTRACION'!R34</f>
        <v>0</v>
      </c>
      <c r="U128" s="9">
        <f ca="1">'1ER PERIODOADMINISTRACION'!S34</f>
        <v>124</v>
      </c>
    </row>
    <row r="129" spans="1:21" ht="39.75" customHeight="1">
      <c r="A129" s="30"/>
      <c r="B129" s="30"/>
      <c r="C129" s="4" t="s">
        <v>166</v>
      </c>
      <c r="D129" s="9">
        <f ca="1">'1ER PERIODOADMINISTRACION'!B35</f>
        <v>1</v>
      </c>
      <c r="E129" s="9">
        <f>'1ER PERIODOADMINISTRACION'!C35</f>
        <v>0</v>
      </c>
      <c r="F129" s="9" t="str">
        <f ca="1">'1ER PERIODOADMINISTRACION'!D35</f>
        <v>ASCENDENTE</v>
      </c>
      <c r="G129" s="9" t="str">
        <f ca="1">'1ER PERIODOADMINISTRACION'!E35</f>
        <v>BITACORA OPERATIVA</v>
      </c>
      <c r="H129" s="9">
        <f ca="1">'1ER PERIODOADMINISTRACION'!F35</f>
        <v>0</v>
      </c>
      <c r="I129" s="9">
        <f ca="1">'1ER PERIODOADMINISTRACION'!G35</f>
        <v>0</v>
      </c>
      <c r="J129" s="9">
        <f ca="1">'1ER PERIODOADMINISTRACION'!H35</f>
        <v>0</v>
      </c>
      <c r="K129" s="9">
        <f ca="1">'1ER PERIODOADMINISTRACION'!I35</f>
        <v>0</v>
      </c>
      <c r="L129" s="9">
        <f ca="1">'1ER PERIODOADMINISTRACION'!J35</f>
        <v>0</v>
      </c>
      <c r="M129" s="9">
        <f ca="1">'1ER PERIODOADMINISTRACION'!K35</f>
        <v>40</v>
      </c>
      <c r="N129" s="9">
        <f ca="1">'1ER PERIODOADMINISTRACION'!L35</f>
        <v>41</v>
      </c>
      <c r="O129" s="9">
        <f ca="1">'1ER PERIODOADMINISTRACION'!M35</f>
        <v>0</v>
      </c>
      <c r="P129" s="9">
        <f ca="1">'1ER PERIODOADMINISTRACION'!N35</f>
        <v>0</v>
      </c>
      <c r="Q129" s="9">
        <f ca="1">'1ER PERIODOADMINISTRACION'!O35</f>
        <v>0</v>
      </c>
      <c r="R129" s="9">
        <f ca="1">'1ER PERIODOADMINISTRACION'!P35</f>
        <v>0</v>
      </c>
      <c r="S129" s="9">
        <f ca="1">'1ER PERIODOADMINISTRACION'!Q35</f>
        <v>0</v>
      </c>
      <c r="T129" s="9">
        <f ca="1">'1ER PERIODOADMINISTRACION'!R35</f>
        <v>0</v>
      </c>
      <c r="U129" s="9">
        <f ca="1">'1ER PERIODOADMINISTRACION'!S35</f>
        <v>81</v>
      </c>
    </row>
    <row r="130" spans="1:21" ht="39.75" customHeight="1">
      <c r="A130" s="30"/>
      <c r="B130" s="31"/>
      <c r="C130" s="4" t="s">
        <v>167</v>
      </c>
      <c r="D130" s="9">
        <f ca="1">'1ER PERIODOADMINISTRACION'!B36</f>
        <v>1</v>
      </c>
      <c r="E130" s="9">
        <f>'1ER PERIODOADMINISTRACION'!C36</f>
        <v>0</v>
      </c>
      <c r="F130" s="9" t="str">
        <f ca="1">'1ER PERIODOADMINISTRACION'!D36</f>
        <v>ASCENDENTE</v>
      </c>
      <c r="G130" s="9" t="str">
        <f ca="1">'1ER PERIODOADMINISTRACION'!E36</f>
        <v>BITACORA OPERATIVA</v>
      </c>
      <c r="H130" s="9">
        <f ca="1">'1ER PERIODOADMINISTRACION'!F36</f>
        <v>0</v>
      </c>
      <c r="I130" s="9">
        <f ca="1">'1ER PERIODOADMINISTRACION'!G36</f>
        <v>0</v>
      </c>
      <c r="J130" s="9">
        <f ca="1">'1ER PERIODOADMINISTRACION'!H36</f>
        <v>0</v>
      </c>
      <c r="K130" s="9">
        <f ca="1">'1ER PERIODOADMINISTRACION'!I36</f>
        <v>0</v>
      </c>
      <c r="L130" s="9">
        <f ca="1">'1ER PERIODOADMINISTRACION'!J36</f>
        <v>203</v>
      </c>
      <c r="M130" s="9">
        <f ca="1">'1ER PERIODOADMINISTRACION'!K36</f>
        <v>210</v>
      </c>
      <c r="N130" s="9">
        <f ca="1">'1ER PERIODOADMINISTRACION'!L36</f>
        <v>213</v>
      </c>
      <c r="O130" s="9">
        <f ca="1">'1ER PERIODOADMINISTRACION'!M36</f>
        <v>0</v>
      </c>
      <c r="P130" s="9">
        <f ca="1">'1ER PERIODOADMINISTRACION'!N36</f>
        <v>0</v>
      </c>
      <c r="Q130" s="9">
        <f ca="1">'1ER PERIODOADMINISTRACION'!O36</f>
        <v>0</v>
      </c>
      <c r="R130" s="9">
        <f ca="1">'1ER PERIODOADMINISTRACION'!P36</f>
        <v>0</v>
      </c>
      <c r="S130" s="9">
        <f ca="1">'1ER PERIODOADMINISTRACION'!Q36</f>
        <v>0</v>
      </c>
      <c r="T130" s="9">
        <f ca="1">'1ER PERIODOADMINISTRACION'!R36</f>
        <v>0</v>
      </c>
      <c r="U130" s="9">
        <f ca="1">'1ER PERIODOADMINISTRACION'!S36</f>
        <v>626</v>
      </c>
    </row>
    <row r="131" spans="1:21" ht="39.75" customHeight="1">
      <c r="A131" s="30"/>
      <c r="B131" s="29" t="s">
        <v>173</v>
      </c>
      <c r="C131" s="4" t="s">
        <v>174</v>
      </c>
      <c r="D131" s="9">
        <f ca="1">'1ER PERIODOADMINISTRACION'!B37</f>
        <v>1</v>
      </c>
      <c r="E131" s="9">
        <f>'1ER PERIODOADMINISTRACION'!C37</f>
        <v>0</v>
      </c>
      <c r="F131" s="9" t="str">
        <f ca="1">'1ER PERIODOADMINISTRACION'!D37</f>
        <v>ASCENDENTE</v>
      </c>
      <c r="G131" s="9" t="str">
        <f ca="1">'1ER PERIODOADMINISTRACION'!E37</f>
        <v>BITACORA OPERATIVA</v>
      </c>
      <c r="H131" s="9">
        <f ca="1">'1ER PERIODOADMINISTRACION'!F37</f>
        <v>0</v>
      </c>
      <c r="I131" s="9">
        <f ca="1">'1ER PERIODOADMINISTRACION'!G37</f>
        <v>0</v>
      </c>
      <c r="J131" s="9">
        <f ca="1">'1ER PERIODOADMINISTRACION'!H37</f>
        <v>0</v>
      </c>
      <c r="K131" s="9">
        <f ca="1">'1ER PERIODOADMINISTRACION'!I37</f>
        <v>0</v>
      </c>
      <c r="L131" s="9">
        <f ca="1">'1ER PERIODOADMINISTRACION'!J37</f>
        <v>180</v>
      </c>
      <c r="M131" s="9">
        <f ca="1">'1ER PERIODOADMINISTRACION'!K37</f>
        <v>187</v>
      </c>
      <c r="N131" s="9">
        <f ca="1">'1ER PERIODOADMINISTRACION'!L37</f>
        <v>190</v>
      </c>
      <c r="O131" s="9">
        <f ca="1">'1ER PERIODOADMINISTRACION'!M37</f>
        <v>0</v>
      </c>
      <c r="P131" s="9">
        <f ca="1">'1ER PERIODOADMINISTRACION'!N37</f>
        <v>0</v>
      </c>
      <c r="Q131" s="9">
        <f ca="1">'1ER PERIODOADMINISTRACION'!O37</f>
        <v>0</v>
      </c>
      <c r="R131" s="9">
        <f ca="1">'1ER PERIODOADMINISTRACION'!P37</f>
        <v>0</v>
      </c>
      <c r="S131" s="9">
        <f ca="1">'1ER PERIODOADMINISTRACION'!Q37</f>
        <v>0</v>
      </c>
      <c r="T131" s="9">
        <f ca="1">'1ER PERIODOADMINISTRACION'!R37</f>
        <v>0</v>
      </c>
      <c r="U131" s="9">
        <f ca="1">'1ER PERIODOADMINISTRACION'!S37</f>
        <v>557</v>
      </c>
    </row>
    <row r="132" spans="1:21" ht="39.75" customHeight="1">
      <c r="A132" s="30"/>
      <c r="B132" s="30"/>
      <c r="C132" s="4" t="s">
        <v>175</v>
      </c>
      <c r="D132" s="9">
        <f ca="1">'1ER PERIODOADMINISTRACION'!B38</f>
        <v>1</v>
      </c>
      <c r="E132" s="9">
        <f>'1ER PERIODOADMINISTRACION'!C38</f>
        <v>0</v>
      </c>
      <c r="F132" s="9" t="str">
        <f ca="1">'1ER PERIODOADMINISTRACION'!D38</f>
        <v>ASCENDENTE</v>
      </c>
      <c r="G132" s="9" t="str">
        <f ca="1">'1ER PERIODOADMINISTRACION'!E38</f>
        <v>BITACORA OPERATIVA</v>
      </c>
      <c r="H132" s="9">
        <f ca="1">'1ER PERIODOADMINISTRACION'!F38</f>
        <v>0</v>
      </c>
      <c r="I132" s="9">
        <f ca="1">'1ER PERIODOADMINISTRACION'!G38</f>
        <v>0</v>
      </c>
      <c r="J132" s="9">
        <f ca="1">'1ER PERIODOADMINISTRACION'!H38</f>
        <v>0</v>
      </c>
      <c r="K132" s="9">
        <f ca="1">'1ER PERIODOADMINISTRACION'!I38</f>
        <v>0</v>
      </c>
      <c r="L132" s="9">
        <f ca="1">'1ER PERIODOADMINISTRACION'!J38</f>
        <v>1010</v>
      </c>
      <c r="M132" s="9">
        <f ca="1">'1ER PERIODOADMINISTRACION'!K38</f>
        <v>1114</v>
      </c>
      <c r="N132" s="9">
        <f ca="1">'1ER PERIODOADMINISTRACION'!L38</f>
        <v>1178</v>
      </c>
      <c r="O132" s="9">
        <f ca="1">'1ER PERIODOADMINISTRACION'!M38</f>
        <v>0</v>
      </c>
      <c r="P132" s="9">
        <f ca="1">'1ER PERIODOADMINISTRACION'!N38</f>
        <v>0</v>
      </c>
      <c r="Q132" s="9">
        <f ca="1">'1ER PERIODOADMINISTRACION'!O38</f>
        <v>0</v>
      </c>
      <c r="R132" s="9">
        <f ca="1">'1ER PERIODOADMINISTRACION'!P38</f>
        <v>0</v>
      </c>
      <c r="S132" s="9">
        <f ca="1">'1ER PERIODOADMINISTRACION'!Q38</f>
        <v>0</v>
      </c>
      <c r="T132" s="9">
        <f ca="1">'1ER PERIODOADMINISTRACION'!R38</f>
        <v>0</v>
      </c>
      <c r="U132" s="9">
        <f ca="1">'1ER PERIODOADMINISTRACION'!S38</f>
        <v>3302</v>
      </c>
    </row>
    <row r="133" spans="1:21" ht="39.75" customHeight="1">
      <c r="A133" s="30"/>
      <c r="B133" s="30"/>
      <c r="C133" s="4" t="s">
        <v>176</v>
      </c>
      <c r="D133" s="9">
        <f ca="1">'1ER PERIODOADMINISTRACION'!B39</f>
        <v>1</v>
      </c>
      <c r="E133" s="9">
        <f>'1ER PERIODOADMINISTRACION'!C39</f>
        <v>0</v>
      </c>
      <c r="F133" s="9" t="str">
        <f ca="1">'1ER PERIODOADMINISTRACION'!D39</f>
        <v>ASCENDENTE</v>
      </c>
      <c r="G133" s="9" t="str">
        <f ca="1">'1ER PERIODOADMINISTRACION'!E39</f>
        <v>BITACORA OPERATIVA</v>
      </c>
      <c r="H133" s="9">
        <f ca="1">'1ER PERIODOADMINISTRACION'!F39</f>
        <v>0</v>
      </c>
      <c r="I133" s="9">
        <f ca="1">'1ER PERIODOADMINISTRACION'!G39</f>
        <v>0</v>
      </c>
      <c r="J133" s="9">
        <f ca="1">'1ER PERIODOADMINISTRACION'!H39</f>
        <v>0</v>
      </c>
      <c r="K133" s="9">
        <f ca="1">'1ER PERIODOADMINISTRACION'!I39</f>
        <v>0</v>
      </c>
      <c r="L133" s="9">
        <f ca="1">'1ER PERIODOADMINISTRACION'!J39</f>
        <v>121366</v>
      </c>
      <c r="M133" s="9">
        <f ca="1">'1ER PERIODOADMINISTRACION'!K39</f>
        <v>123492</v>
      </c>
      <c r="N133" s="9">
        <f ca="1">'1ER PERIODOADMINISTRACION'!L39</f>
        <v>125803</v>
      </c>
      <c r="O133" s="9">
        <f ca="1">'1ER PERIODOADMINISTRACION'!M39</f>
        <v>0</v>
      </c>
      <c r="P133" s="9">
        <f ca="1">'1ER PERIODOADMINISTRACION'!N39</f>
        <v>0</v>
      </c>
      <c r="Q133" s="9">
        <f ca="1">'1ER PERIODOADMINISTRACION'!O39</f>
        <v>0</v>
      </c>
      <c r="R133" s="9">
        <f ca="1">'1ER PERIODOADMINISTRACION'!P39</f>
        <v>0</v>
      </c>
      <c r="S133" s="9">
        <f ca="1">'1ER PERIODOADMINISTRACION'!Q39</f>
        <v>0</v>
      </c>
      <c r="T133" s="9">
        <f ca="1">'1ER PERIODOADMINISTRACION'!R39</f>
        <v>0</v>
      </c>
      <c r="U133" s="9">
        <f ca="1">'1ER PERIODOADMINISTRACION'!S39</f>
        <v>370661</v>
      </c>
    </row>
    <row r="134" spans="1:21" ht="39.75" customHeight="1">
      <c r="A134" s="30"/>
      <c r="B134" s="30"/>
      <c r="C134" s="4" t="s">
        <v>177</v>
      </c>
      <c r="D134" s="9">
        <f ca="1">'1ER PERIODOADMINISTRACION'!B40</f>
        <v>1</v>
      </c>
      <c r="E134" s="9">
        <f>'1ER PERIODOADMINISTRACION'!C40</f>
        <v>0</v>
      </c>
      <c r="F134" s="9" t="str">
        <f ca="1">'1ER PERIODOADMINISTRACION'!D40</f>
        <v>ASCENDENTE</v>
      </c>
      <c r="G134" s="9" t="str">
        <f ca="1">'1ER PERIODOADMINISTRACION'!E40</f>
        <v>BITACORA OPERATIVA</v>
      </c>
      <c r="H134" s="9">
        <f ca="1">'1ER PERIODOADMINISTRACION'!F40</f>
        <v>0</v>
      </c>
      <c r="I134" s="9">
        <f ca="1">'1ER PERIODOADMINISTRACION'!G40</f>
        <v>0</v>
      </c>
      <c r="J134" s="9">
        <f ca="1">'1ER PERIODOADMINISTRACION'!H40</f>
        <v>0</v>
      </c>
      <c r="K134" s="9">
        <f ca="1">'1ER PERIODOADMINISTRACION'!I40</f>
        <v>0</v>
      </c>
      <c r="L134" s="9">
        <f ca="1">'1ER PERIODOADMINISTRACION'!J40</f>
        <v>61</v>
      </c>
      <c r="M134" s="9">
        <f ca="1">'1ER PERIODOADMINISTRACION'!K40</f>
        <v>65</v>
      </c>
      <c r="N134" s="9">
        <f ca="1">'1ER PERIODOADMINISTRACION'!L40</f>
        <v>65</v>
      </c>
      <c r="O134" s="9">
        <f ca="1">'1ER PERIODOADMINISTRACION'!M40</f>
        <v>0</v>
      </c>
      <c r="P134" s="9">
        <f ca="1">'1ER PERIODOADMINISTRACION'!N40</f>
        <v>0</v>
      </c>
      <c r="Q134" s="9">
        <f ca="1">'1ER PERIODOADMINISTRACION'!O40</f>
        <v>0</v>
      </c>
      <c r="R134" s="9">
        <f ca="1">'1ER PERIODOADMINISTRACION'!P40</f>
        <v>0</v>
      </c>
      <c r="S134" s="9">
        <f ca="1">'1ER PERIODOADMINISTRACION'!Q40</f>
        <v>0</v>
      </c>
      <c r="T134" s="9">
        <f ca="1">'1ER PERIODOADMINISTRACION'!R40</f>
        <v>0</v>
      </c>
      <c r="U134" s="9">
        <f ca="1">'1ER PERIODOADMINISTRACION'!S40</f>
        <v>191</v>
      </c>
    </row>
    <row r="135" spans="1:21" ht="39.75" customHeight="1">
      <c r="A135" s="30"/>
      <c r="B135" s="30"/>
      <c r="C135" s="4" t="s">
        <v>178</v>
      </c>
      <c r="D135" s="9">
        <f ca="1">'1ER PERIODOADMINISTRACION'!B41</f>
        <v>1</v>
      </c>
      <c r="E135" s="9">
        <f>'1ER PERIODOADMINISTRACION'!C41</f>
        <v>0</v>
      </c>
      <c r="F135" s="9" t="str">
        <f ca="1">'1ER PERIODOADMINISTRACION'!D41</f>
        <v>ASCENDENTE</v>
      </c>
      <c r="G135" s="9" t="str">
        <f ca="1">'1ER PERIODOADMINISTRACION'!E41</f>
        <v>BITACORA OPERATIVA</v>
      </c>
      <c r="H135" s="9">
        <f ca="1">'1ER PERIODOADMINISTRACION'!F41</f>
        <v>0</v>
      </c>
      <c r="I135" s="9">
        <f ca="1">'1ER PERIODOADMINISTRACION'!G41</f>
        <v>0</v>
      </c>
      <c r="J135" s="9">
        <f ca="1">'1ER PERIODOADMINISTRACION'!H41</f>
        <v>0</v>
      </c>
      <c r="K135" s="9">
        <f ca="1">'1ER PERIODOADMINISTRACION'!I41</f>
        <v>0</v>
      </c>
      <c r="L135" s="9">
        <f ca="1">'1ER PERIODOADMINISTRACION'!J41</f>
        <v>244</v>
      </c>
      <c r="M135" s="9">
        <f ca="1">'1ER PERIODOADMINISTRACION'!K41</f>
        <v>260</v>
      </c>
      <c r="N135" s="9">
        <f ca="1">'1ER PERIODOADMINISTRACION'!L41</f>
        <v>260</v>
      </c>
      <c r="O135" s="9">
        <f ca="1">'1ER PERIODOADMINISTRACION'!M41</f>
        <v>0</v>
      </c>
      <c r="P135" s="9">
        <f ca="1">'1ER PERIODOADMINISTRACION'!N41</f>
        <v>0</v>
      </c>
      <c r="Q135" s="9">
        <f ca="1">'1ER PERIODOADMINISTRACION'!O41</f>
        <v>0</v>
      </c>
      <c r="R135" s="9">
        <f ca="1">'1ER PERIODOADMINISTRACION'!P41</f>
        <v>0</v>
      </c>
      <c r="S135" s="9">
        <f ca="1">'1ER PERIODOADMINISTRACION'!Q41</f>
        <v>0</v>
      </c>
      <c r="T135" s="9">
        <f ca="1">'1ER PERIODOADMINISTRACION'!R41</f>
        <v>0</v>
      </c>
      <c r="U135" s="9">
        <f ca="1">'1ER PERIODOADMINISTRACION'!S41</f>
        <v>764</v>
      </c>
    </row>
    <row r="136" spans="1:21" ht="39.75" customHeight="1">
      <c r="A136" s="30"/>
      <c r="B136" s="30"/>
      <c r="C136" s="4" t="s">
        <v>176</v>
      </c>
      <c r="D136" s="9">
        <f ca="1">'1ER PERIODOADMINISTRACION'!B42</f>
        <v>1</v>
      </c>
      <c r="E136" s="9">
        <f>'1ER PERIODOADMINISTRACION'!C42</f>
        <v>0</v>
      </c>
      <c r="F136" s="9" t="str">
        <f ca="1">'1ER PERIODOADMINISTRACION'!D42</f>
        <v>ASCENDENTE</v>
      </c>
      <c r="G136" s="9" t="str">
        <f ca="1">'1ER PERIODOADMINISTRACION'!E42</f>
        <v>BITACORA OPERATIVA</v>
      </c>
      <c r="H136" s="9">
        <f ca="1">'1ER PERIODOADMINISTRACION'!F42</f>
        <v>0</v>
      </c>
      <c r="I136" s="9">
        <f ca="1">'1ER PERIODOADMINISTRACION'!G42</f>
        <v>0</v>
      </c>
      <c r="J136" s="9">
        <f ca="1">'1ER PERIODOADMINISTRACION'!H42</f>
        <v>0</v>
      </c>
      <c r="K136" s="9">
        <f ca="1">'1ER PERIODOADMINISTRACION'!I42</f>
        <v>0</v>
      </c>
      <c r="L136" s="9">
        <f ca="1">'1ER PERIODOADMINISTRACION'!J42</f>
        <v>170</v>
      </c>
      <c r="M136" s="9">
        <f ca="1">'1ER PERIODOADMINISTRACION'!K42</f>
        <v>185</v>
      </c>
      <c r="N136" s="9">
        <f ca="1">'1ER PERIODOADMINISTRACION'!L42</f>
        <v>185</v>
      </c>
      <c r="O136" s="9">
        <f ca="1">'1ER PERIODOADMINISTRACION'!M42</f>
        <v>0</v>
      </c>
      <c r="P136" s="9">
        <f ca="1">'1ER PERIODOADMINISTRACION'!N42</f>
        <v>0</v>
      </c>
      <c r="Q136" s="9">
        <f ca="1">'1ER PERIODOADMINISTRACION'!O42</f>
        <v>0</v>
      </c>
      <c r="R136" s="9">
        <f ca="1">'1ER PERIODOADMINISTRACION'!P42</f>
        <v>0</v>
      </c>
      <c r="S136" s="9">
        <f ca="1">'1ER PERIODOADMINISTRACION'!Q42</f>
        <v>0</v>
      </c>
      <c r="T136" s="9">
        <f ca="1">'1ER PERIODOADMINISTRACION'!R42</f>
        <v>0</v>
      </c>
      <c r="U136" s="9">
        <f ca="1">'1ER PERIODOADMINISTRACION'!S42</f>
        <v>540</v>
      </c>
    </row>
    <row r="137" spans="1:21" ht="39.75" customHeight="1">
      <c r="A137" s="30"/>
      <c r="B137" s="30"/>
      <c r="C137" s="4" t="s">
        <v>177</v>
      </c>
      <c r="D137" s="9">
        <f ca="1">'1ER PERIODOADMINISTRACION'!B43</f>
        <v>1</v>
      </c>
      <c r="E137" s="9">
        <f>'1ER PERIODOADMINISTRACION'!C43</f>
        <v>0</v>
      </c>
      <c r="F137" s="9" t="str">
        <f ca="1">'1ER PERIODOADMINISTRACION'!D43</f>
        <v>ASCENDENTE</v>
      </c>
      <c r="G137" s="9" t="str">
        <f ca="1">'1ER PERIODOADMINISTRACION'!E43</f>
        <v>BITACORA OPERATIVA</v>
      </c>
      <c r="H137" s="9">
        <f ca="1">'1ER PERIODOADMINISTRACION'!F43</f>
        <v>0</v>
      </c>
      <c r="I137" s="9">
        <f ca="1">'1ER PERIODOADMINISTRACION'!G43</f>
        <v>0</v>
      </c>
      <c r="J137" s="9">
        <f ca="1">'1ER PERIODOADMINISTRACION'!H43</f>
        <v>0</v>
      </c>
      <c r="K137" s="9">
        <f ca="1">'1ER PERIODOADMINISTRACION'!I43</f>
        <v>0</v>
      </c>
      <c r="L137" s="9">
        <f ca="1">'1ER PERIODOADMINISTRACION'!J43</f>
        <v>23</v>
      </c>
      <c r="M137" s="9">
        <f ca="1">'1ER PERIODOADMINISTRACION'!K43</f>
        <v>28</v>
      </c>
      <c r="N137" s="9">
        <f ca="1">'1ER PERIODOADMINISTRACION'!L43</f>
        <v>28</v>
      </c>
      <c r="O137" s="9">
        <f ca="1">'1ER PERIODOADMINISTRACION'!M43</f>
        <v>0</v>
      </c>
      <c r="P137" s="9">
        <f ca="1">'1ER PERIODOADMINISTRACION'!N43</f>
        <v>0</v>
      </c>
      <c r="Q137" s="9">
        <f ca="1">'1ER PERIODOADMINISTRACION'!O43</f>
        <v>0</v>
      </c>
      <c r="R137" s="9">
        <f ca="1">'1ER PERIODOADMINISTRACION'!P43</f>
        <v>0</v>
      </c>
      <c r="S137" s="9">
        <f ca="1">'1ER PERIODOADMINISTRACION'!Q43</f>
        <v>0</v>
      </c>
      <c r="T137" s="9">
        <f ca="1">'1ER PERIODOADMINISTRACION'!R43</f>
        <v>0</v>
      </c>
      <c r="U137" s="9">
        <f ca="1">'1ER PERIODOADMINISTRACION'!S43</f>
        <v>79</v>
      </c>
    </row>
    <row r="138" spans="1:21" ht="39.75" customHeight="1">
      <c r="A138" s="30"/>
      <c r="B138" s="30"/>
      <c r="C138" s="4" t="s">
        <v>179</v>
      </c>
      <c r="D138" s="9">
        <f ca="1">'1ER PERIODOADMINISTRACION'!B44</f>
        <v>1</v>
      </c>
      <c r="E138" s="9">
        <f>'1ER PERIODOADMINISTRACION'!C44</f>
        <v>0</v>
      </c>
      <c r="F138" s="9" t="str">
        <f ca="1">'1ER PERIODOADMINISTRACION'!D44</f>
        <v>ASCENDENTE</v>
      </c>
      <c r="G138" s="9" t="str">
        <f ca="1">'1ER PERIODOADMINISTRACION'!E44</f>
        <v>BITACORA OPERATIVA</v>
      </c>
      <c r="H138" s="9">
        <f ca="1">'1ER PERIODOADMINISTRACION'!F44</f>
        <v>0</v>
      </c>
      <c r="I138" s="9">
        <f ca="1">'1ER PERIODOADMINISTRACION'!G44</f>
        <v>0</v>
      </c>
      <c r="J138" s="9">
        <f ca="1">'1ER PERIODOADMINISTRACION'!H44</f>
        <v>0</v>
      </c>
      <c r="K138" s="9">
        <f ca="1">'1ER PERIODOADMINISTRACION'!I44</f>
        <v>0</v>
      </c>
      <c r="L138" s="9">
        <f ca="1">'1ER PERIODOADMINISTRACION'!J44</f>
        <v>92</v>
      </c>
      <c r="M138" s="9">
        <f ca="1">'1ER PERIODOADMINISTRACION'!K44</f>
        <v>112</v>
      </c>
      <c r="N138" s="9">
        <f ca="1">'1ER PERIODOADMINISTRACION'!L44</f>
        <v>112</v>
      </c>
      <c r="O138" s="9">
        <f ca="1">'1ER PERIODOADMINISTRACION'!M44</f>
        <v>0</v>
      </c>
      <c r="P138" s="9">
        <f ca="1">'1ER PERIODOADMINISTRACION'!N44</f>
        <v>0</v>
      </c>
      <c r="Q138" s="9">
        <f ca="1">'1ER PERIODOADMINISTRACION'!O44</f>
        <v>0</v>
      </c>
      <c r="R138" s="9">
        <f ca="1">'1ER PERIODOADMINISTRACION'!P44</f>
        <v>0</v>
      </c>
      <c r="S138" s="9">
        <f ca="1">'1ER PERIODOADMINISTRACION'!Q44</f>
        <v>0</v>
      </c>
      <c r="T138" s="9">
        <f ca="1">'1ER PERIODOADMINISTRACION'!R44</f>
        <v>0</v>
      </c>
      <c r="U138" s="9">
        <f ca="1">'1ER PERIODOADMINISTRACION'!S44</f>
        <v>316</v>
      </c>
    </row>
    <row r="139" spans="1:21" ht="39.75" customHeight="1">
      <c r="A139" s="30"/>
      <c r="B139" s="30"/>
      <c r="C139" s="4" t="s">
        <v>176</v>
      </c>
      <c r="D139" s="9">
        <f ca="1">'1ER PERIODOADMINISTRACION'!B45</f>
        <v>1</v>
      </c>
      <c r="E139" s="9">
        <f>'1ER PERIODOADMINISTRACION'!C45</f>
        <v>0</v>
      </c>
      <c r="F139" s="9" t="str">
        <f ca="1">'1ER PERIODOADMINISTRACION'!D45</f>
        <v>ASCENDENTE</v>
      </c>
      <c r="G139" s="9" t="str">
        <f ca="1">'1ER PERIODOADMINISTRACION'!E45</f>
        <v>BITACORA OPERATIVA</v>
      </c>
      <c r="H139" s="9">
        <f ca="1">'1ER PERIODOADMINISTRACION'!F45</f>
        <v>0</v>
      </c>
      <c r="I139" s="9">
        <f ca="1">'1ER PERIODOADMINISTRACION'!G45</f>
        <v>0</v>
      </c>
      <c r="J139" s="9">
        <f ca="1">'1ER PERIODOADMINISTRACION'!H45</f>
        <v>0</v>
      </c>
      <c r="K139" s="9">
        <f ca="1">'1ER PERIODOADMINISTRACION'!I45</f>
        <v>0</v>
      </c>
      <c r="L139" s="9">
        <f ca="1">'1ER PERIODOADMINISTRACION'!J45</f>
        <v>1960</v>
      </c>
      <c r="M139" s="9">
        <f ca="1">'1ER PERIODOADMINISTRACION'!K45</f>
        <v>2400</v>
      </c>
      <c r="N139" s="9">
        <f ca="1">'1ER PERIODOADMINISTRACION'!L45</f>
        <v>2400</v>
      </c>
      <c r="O139" s="9">
        <f ca="1">'1ER PERIODOADMINISTRACION'!M45</f>
        <v>0</v>
      </c>
      <c r="P139" s="9">
        <f ca="1">'1ER PERIODOADMINISTRACION'!N45</f>
        <v>0</v>
      </c>
      <c r="Q139" s="9">
        <f ca="1">'1ER PERIODOADMINISTRACION'!O45</f>
        <v>0</v>
      </c>
      <c r="R139" s="9">
        <f ca="1">'1ER PERIODOADMINISTRACION'!P45</f>
        <v>0</v>
      </c>
      <c r="S139" s="9">
        <f ca="1">'1ER PERIODOADMINISTRACION'!Q45</f>
        <v>0</v>
      </c>
      <c r="T139" s="9">
        <f ca="1">'1ER PERIODOADMINISTRACION'!R45</f>
        <v>0</v>
      </c>
      <c r="U139" s="9">
        <f ca="1">'1ER PERIODOADMINISTRACION'!S45</f>
        <v>6760</v>
      </c>
    </row>
    <row r="140" spans="1:21" ht="39.75" customHeight="1">
      <c r="A140" s="30"/>
      <c r="B140" s="30"/>
      <c r="C140" s="4" t="s">
        <v>177</v>
      </c>
      <c r="D140" s="9">
        <f ca="1">'1ER PERIODOADMINISTRACION'!B46</f>
        <v>1</v>
      </c>
      <c r="E140" s="9">
        <f>'1ER PERIODOADMINISTRACION'!C46</f>
        <v>0</v>
      </c>
      <c r="F140" s="9" t="str">
        <f ca="1">'1ER PERIODOADMINISTRACION'!D46</f>
        <v>ASCENDENTE</v>
      </c>
      <c r="G140" s="9" t="str">
        <f ca="1">'1ER PERIODOADMINISTRACION'!E46</f>
        <v>BITACORA OPERATIVA</v>
      </c>
      <c r="H140" s="9">
        <f ca="1">'1ER PERIODOADMINISTRACION'!F46</f>
        <v>0</v>
      </c>
      <c r="I140" s="9">
        <f ca="1">'1ER PERIODOADMINISTRACION'!G46</f>
        <v>0</v>
      </c>
      <c r="J140" s="9">
        <f ca="1">'1ER PERIODOADMINISTRACION'!H46</f>
        <v>0</v>
      </c>
      <c r="K140" s="9">
        <f ca="1">'1ER PERIODOADMINISTRACION'!I46</f>
        <v>0</v>
      </c>
      <c r="L140" s="9">
        <f ca="1">'1ER PERIODOADMINISTRACION'!J46</f>
        <v>5</v>
      </c>
      <c r="M140" s="9">
        <f ca="1">'1ER PERIODOADMINISTRACION'!K46</f>
        <v>5</v>
      </c>
      <c r="N140" s="9">
        <f ca="1">'1ER PERIODOADMINISTRACION'!L46</f>
        <v>5</v>
      </c>
      <c r="O140" s="9">
        <f ca="1">'1ER PERIODOADMINISTRACION'!M46</f>
        <v>0</v>
      </c>
      <c r="P140" s="9">
        <f ca="1">'1ER PERIODOADMINISTRACION'!N46</f>
        <v>0</v>
      </c>
      <c r="Q140" s="9">
        <f ca="1">'1ER PERIODOADMINISTRACION'!O46</f>
        <v>0</v>
      </c>
      <c r="R140" s="9">
        <f ca="1">'1ER PERIODOADMINISTRACION'!P46</f>
        <v>0</v>
      </c>
      <c r="S140" s="9">
        <f ca="1">'1ER PERIODOADMINISTRACION'!Q46</f>
        <v>0</v>
      </c>
      <c r="T140" s="9">
        <f ca="1">'1ER PERIODOADMINISTRACION'!R46</f>
        <v>0</v>
      </c>
      <c r="U140" s="9">
        <f ca="1">'1ER PERIODOADMINISTRACION'!S46</f>
        <v>15</v>
      </c>
    </row>
    <row r="141" spans="1:21" ht="39.75" customHeight="1">
      <c r="A141" s="30"/>
      <c r="B141" s="30"/>
      <c r="C141" s="4" t="s">
        <v>180</v>
      </c>
      <c r="D141" s="9">
        <f ca="1">'1ER PERIODOADMINISTRACION'!B47</f>
        <v>1</v>
      </c>
      <c r="E141" s="9">
        <f>'1ER PERIODOADMINISTRACION'!C47</f>
        <v>0</v>
      </c>
      <c r="F141" s="9" t="str">
        <f ca="1">'1ER PERIODOADMINISTRACION'!D47</f>
        <v>ASCENDENTE</v>
      </c>
      <c r="G141" s="9" t="str">
        <f ca="1">'1ER PERIODOADMINISTRACION'!E47</f>
        <v>BITACORA OPERATIVA</v>
      </c>
      <c r="H141" s="9">
        <f ca="1">'1ER PERIODOADMINISTRACION'!F47</f>
        <v>0</v>
      </c>
      <c r="I141" s="9">
        <f ca="1">'1ER PERIODOADMINISTRACION'!G47</f>
        <v>0</v>
      </c>
      <c r="J141" s="9">
        <f ca="1">'1ER PERIODOADMINISTRACION'!H47</f>
        <v>0</v>
      </c>
      <c r="K141" s="9">
        <f ca="1">'1ER PERIODOADMINISTRACION'!I47</f>
        <v>0</v>
      </c>
      <c r="L141" s="9">
        <f ca="1">'1ER PERIODOADMINISTRACION'!J47</f>
        <v>20</v>
      </c>
      <c r="M141" s="9">
        <f ca="1">'1ER PERIODOADMINISTRACION'!K47</f>
        <v>20</v>
      </c>
      <c r="N141" s="9">
        <f ca="1">'1ER PERIODOADMINISTRACION'!L47</f>
        <v>20</v>
      </c>
      <c r="O141" s="9">
        <f ca="1">'1ER PERIODOADMINISTRACION'!M47</f>
        <v>0</v>
      </c>
      <c r="P141" s="9">
        <f ca="1">'1ER PERIODOADMINISTRACION'!N47</f>
        <v>0</v>
      </c>
      <c r="Q141" s="9">
        <f ca="1">'1ER PERIODOADMINISTRACION'!O47</f>
        <v>0</v>
      </c>
      <c r="R141" s="9">
        <f ca="1">'1ER PERIODOADMINISTRACION'!P47</f>
        <v>0</v>
      </c>
      <c r="S141" s="9">
        <f ca="1">'1ER PERIODOADMINISTRACION'!Q47</f>
        <v>0</v>
      </c>
      <c r="T141" s="9">
        <f ca="1">'1ER PERIODOADMINISTRACION'!R47</f>
        <v>0</v>
      </c>
      <c r="U141" s="9">
        <f ca="1">'1ER PERIODOADMINISTRACION'!S47</f>
        <v>60</v>
      </c>
    </row>
    <row r="142" spans="1:21" ht="39.75" customHeight="1">
      <c r="A142" s="30"/>
      <c r="B142" s="30"/>
      <c r="C142" s="4" t="s">
        <v>176</v>
      </c>
      <c r="D142" s="9">
        <f ca="1">'1ER PERIODOADMINISTRACION'!B48</f>
        <v>1</v>
      </c>
      <c r="E142" s="9">
        <f>'1ER PERIODOADMINISTRACION'!C48</f>
        <v>0</v>
      </c>
      <c r="F142" s="9" t="str">
        <f ca="1">'1ER PERIODOADMINISTRACION'!D48</f>
        <v>ASCENDENTE</v>
      </c>
      <c r="G142" s="9" t="str">
        <f ca="1">'1ER PERIODOADMINISTRACION'!E48</f>
        <v>BITACORA OPERATIVA</v>
      </c>
      <c r="H142" s="9">
        <f ca="1">'1ER PERIODOADMINISTRACION'!F48</f>
        <v>0</v>
      </c>
      <c r="I142" s="9">
        <f ca="1">'1ER PERIODOADMINISTRACION'!G48</f>
        <v>0</v>
      </c>
      <c r="J142" s="9">
        <f ca="1">'1ER PERIODOADMINISTRACION'!H48</f>
        <v>0</v>
      </c>
      <c r="K142" s="9">
        <f ca="1">'1ER PERIODOADMINISTRACION'!I48</f>
        <v>0</v>
      </c>
      <c r="L142" s="9">
        <f ca="1">'1ER PERIODOADMINISTRACION'!J48</f>
        <v>160</v>
      </c>
      <c r="M142" s="9">
        <f ca="1">'1ER PERIODOADMINISTRACION'!K48</f>
        <v>160</v>
      </c>
      <c r="N142" s="9">
        <f ca="1">'1ER PERIODOADMINISTRACION'!L48</f>
        <v>160</v>
      </c>
      <c r="O142" s="9">
        <f ca="1">'1ER PERIODOADMINISTRACION'!M48</f>
        <v>0</v>
      </c>
      <c r="P142" s="9">
        <f ca="1">'1ER PERIODOADMINISTRACION'!N48</f>
        <v>0</v>
      </c>
      <c r="Q142" s="9">
        <f ca="1">'1ER PERIODOADMINISTRACION'!O48</f>
        <v>0</v>
      </c>
      <c r="R142" s="9">
        <f ca="1">'1ER PERIODOADMINISTRACION'!P48</f>
        <v>0</v>
      </c>
      <c r="S142" s="9">
        <f ca="1">'1ER PERIODOADMINISTRACION'!Q48</f>
        <v>0</v>
      </c>
      <c r="T142" s="9">
        <f ca="1">'1ER PERIODOADMINISTRACION'!R48</f>
        <v>0</v>
      </c>
      <c r="U142" s="9">
        <f ca="1">'1ER PERIODOADMINISTRACION'!S48</f>
        <v>480</v>
      </c>
    </row>
    <row r="143" spans="1:21" ht="39.75" customHeight="1">
      <c r="A143" s="30"/>
      <c r="B143" s="30"/>
      <c r="C143" s="4" t="s">
        <v>177</v>
      </c>
      <c r="D143" s="9">
        <f ca="1">'1ER PERIODOADMINISTRACION'!B49</f>
        <v>1</v>
      </c>
      <c r="E143" s="9">
        <f>'1ER PERIODOADMINISTRACION'!C49</f>
        <v>0</v>
      </c>
      <c r="F143" s="9" t="str">
        <f ca="1">'1ER PERIODOADMINISTRACION'!D49</f>
        <v>ASCENDENTE</v>
      </c>
      <c r="G143" s="9" t="str">
        <f ca="1">'1ER PERIODOADMINISTRACION'!E49</f>
        <v>BITACORA OPERATIVA</v>
      </c>
      <c r="H143" s="9">
        <f ca="1">'1ER PERIODOADMINISTRACION'!F49</f>
        <v>0</v>
      </c>
      <c r="I143" s="9">
        <f ca="1">'1ER PERIODOADMINISTRACION'!G49</f>
        <v>0</v>
      </c>
      <c r="J143" s="9">
        <f ca="1">'1ER PERIODOADMINISTRACION'!H49</f>
        <v>0</v>
      </c>
      <c r="K143" s="9">
        <f ca="1">'1ER PERIODOADMINISTRACION'!I49</f>
        <v>0</v>
      </c>
      <c r="L143" s="9">
        <f ca="1">'1ER PERIODOADMINISTRACION'!J49</f>
        <v>164</v>
      </c>
      <c r="M143" s="9">
        <f ca="1">'1ER PERIODOADMINISTRACION'!K49</f>
        <v>185</v>
      </c>
      <c r="N143" s="9">
        <f ca="1">'1ER PERIODOADMINISTRACION'!L49</f>
        <v>185</v>
      </c>
      <c r="O143" s="9">
        <f ca="1">'1ER PERIODOADMINISTRACION'!M49</f>
        <v>0</v>
      </c>
      <c r="P143" s="9">
        <f ca="1">'1ER PERIODOADMINISTRACION'!N49</f>
        <v>0</v>
      </c>
      <c r="Q143" s="9">
        <f ca="1">'1ER PERIODOADMINISTRACION'!O49</f>
        <v>0</v>
      </c>
      <c r="R143" s="9">
        <f ca="1">'1ER PERIODOADMINISTRACION'!P49</f>
        <v>0</v>
      </c>
      <c r="S143" s="9">
        <f ca="1">'1ER PERIODOADMINISTRACION'!Q49</f>
        <v>0</v>
      </c>
      <c r="T143" s="9">
        <f ca="1">'1ER PERIODOADMINISTRACION'!R49</f>
        <v>0</v>
      </c>
      <c r="U143" s="9">
        <f ca="1">'1ER PERIODOADMINISTRACION'!S49</f>
        <v>534</v>
      </c>
    </row>
    <row r="144" spans="1:21" ht="39.75" customHeight="1">
      <c r="A144" s="30"/>
      <c r="B144" s="30"/>
      <c r="C144" s="4" t="s">
        <v>181</v>
      </c>
      <c r="D144" s="9">
        <f ca="1">'1ER PERIODOADMINISTRACION'!B50</f>
        <v>1</v>
      </c>
      <c r="E144" s="9">
        <f>'1ER PERIODOADMINISTRACION'!C50</f>
        <v>0</v>
      </c>
      <c r="F144" s="9" t="str">
        <f ca="1">'1ER PERIODOADMINISTRACION'!D50</f>
        <v>ASCENDENTE</v>
      </c>
      <c r="G144" s="9" t="str">
        <f ca="1">'1ER PERIODOADMINISTRACION'!E50</f>
        <v>BITACORA OPERATIVA</v>
      </c>
      <c r="H144" s="9">
        <f ca="1">'1ER PERIODOADMINISTRACION'!F50</f>
        <v>0</v>
      </c>
      <c r="I144" s="9">
        <f ca="1">'1ER PERIODOADMINISTRACION'!G50</f>
        <v>0</v>
      </c>
      <c r="J144" s="9">
        <f ca="1">'1ER PERIODOADMINISTRACION'!H50</f>
        <v>0</v>
      </c>
      <c r="K144" s="9">
        <f ca="1">'1ER PERIODOADMINISTRACION'!I50</f>
        <v>0</v>
      </c>
      <c r="L144" s="9">
        <f ca="1">'1ER PERIODOADMINISTRACION'!J50</f>
        <v>1491026</v>
      </c>
      <c r="M144" s="9">
        <f ca="1">'1ER PERIODOADMINISTRACION'!K50</f>
        <v>1716096</v>
      </c>
      <c r="N144" s="9">
        <f ca="1">'1ER PERIODOADMINISTRACION'!L50</f>
        <v>1812310</v>
      </c>
      <c r="O144" s="9">
        <f ca="1">'1ER PERIODOADMINISTRACION'!M50</f>
        <v>0</v>
      </c>
      <c r="P144" s="9">
        <f ca="1">'1ER PERIODOADMINISTRACION'!N50</f>
        <v>0</v>
      </c>
      <c r="Q144" s="9">
        <f ca="1">'1ER PERIODOADMINISTRACION'!O50</f>
        <v>0</v>
      </c>
      <c r="R144" s="9">
        <f ca="1">'1ER PERIODOADMINISTRACION'!P50</f>
        <v>0</v>
      </c>
      <c r="S144" s="9">
        <f ca="1">'1ER PERIODOADMINISTRACION'!Q50</f>
        <v>0</v>
      </c>
      <c r="T144" s="9">
        <f ca="1">'1ER PERIODOADMINISTRACION'!R50</f>
        <v>0</v>
      </c>
      <c r="U144" s="9">
        <f ca="1">'1ER PERIODOADMINISTRACION'!S50</f>
        <v>5019432</v>
      </c>
    </row>
    <row r="145" spans="1:21" ht="39.75" customHeight="1">
      <c r="A145" s="30"/>
      <c r="B145" s="30"/>
      <c r="C145" s="4" t="s">
        <v>182</v>
      </c>
      <c r="D145" s="9">
        <f ca="1">'1ER PERIODOADMINISTRACION'!B51</f>
        <v>1</v>
      </c>
      <c r="E145" s="9">
        <f>'1ER PERIODOADMINISTRACION'!C51</f>
        <v>0</v>
      </c>
      <c r="F145" s="9" t="str">
        <f ca="1">'1ER PERIODOADMINISTRACION'!D51</f>
        <v>ASCENDENTE</v>
      </c>
      <c r="G145" s="9" t="str">
        <f ca="1">'1ER PERIODOADMINISTRACION'!E51</f>
        <v>BITACORA OPERATIVA</v>
      </c>
      <c r="H145" s="9">
        <f ca="1">'1ER PERIODOADMINISTRACION'!F51</f>
        <v>0</v>
      </c>
      <c r="I145" s="9">
        <f ca="1">'1ER PERIODOADMINISTRACION'!G51</f>
        <v>0</v>
      </c>
      <c r="J145" s="9">
        <f ca="1">'1ER PERIODOADMINISTRACION'!H51</f>
        <v>0</v>
      </c>
      <c r="K145" s="9">
        <f ca="1">'1ER PERIODOADMINISTRACION'!I51</f>
        <v>0</v>
      </c>
      <c r="L145" s="9">
        <f ca="1">'1ER PERIODOADMINISTRACION'!J51</f>
        <v>45</v>
      </c>
      <c r="M145" s="9">
        <f ca="1">'1ER PERIODOADMINISTRACION'!K51</f>
        <v>45</v>
      </c>
      <c r="N145" s="9">
        <f ca="1">'1ER PERIODOADMINISTRACION'!L51</f>
        <v>45</v>
      </c>
      <c r="O145" s="9">
        <f ca="1">'1ER PERIODOADMINISTRACION'!M51</f>
        <v>0</v>
      </c>
      <c r="P145" s="9">
        <f ca="1">'1ER PERIODOADMINISTRACION'!N51</f>
        <v>0</v>
      </c>
      <c r="Q145" s="9">
        <f ca="1">'1ER PERIODOADMINISTRACION'!O51</f>
        <v>0</v>
      </c>
      <c r="R145" s="9">
        <f ca="1">'1ER PERIODOADMINISTRACION'!P51</f>
        <v>0</v>
      </c>
      <c r="S145" s="9">
        <f ca="1">'1ER PERIODOADMINISTRACION'!Q51</f>
        <v>0</v>
      </c>
      <c r="T145" s="9">
        <f ca="1">'1ER PERIODOADMINISTRACION'!R51</f>
        <v>0</v>
      </c>
      <c r="U145" s="9">
        <f ca="1">'1ER PERIODOADMINISTRACION'!S51</f>
        <v>135</v>
      </c>
    </row>
    <row r="146" spans="1:21" ht="39.75" customHeight="1">
      <c r="A146" s="30"/>
      <c r="B146" s="30"/>
      <c r="C146" s="4" t="s">
        <v>183</v>
      </c>
      <c r="D146" s="9">
        <f ca="1">'1ER PERIODOADMINISTRACION'!B52</f>
        <v>1</v>
      </c>
      <c r="E146" s="9">
        <f>'1ER PERIODOADMINISTRACION'!C52</f>
        <v>0</v>
      </c>
      <c r="F146" s="9" t="str">
        <f ca="1">'1ER PERIODOADMINISTRACION'!D52</f>
        <v>ASCENDENTE</v>
      </c>
      <c r="G146" s="9" t="str">
        <f ca="1">'1ER PERIODOADMINISTRACION'!E52</f>
        <v>BITACORA OPERATIVA</v>
      </c>
      <c r="H146" s="9">
        <f ca="1">'1ER PERIODOADMINISTRACION'!F52</f>
        <v>0</v>
      </c>
      <c r="I146" s="9">
        <f ca="1">'1ER PERIODOADMINISTRACION'!G52</f>
        <v>0</v>
      </c>
      <c r="J146" s="9">
        <f ca="1">'1ER PERIODOADMINISTRACION'!H52</f>
        <v>0</v>
      </c>
      <c r="K146" s="9">
        <f ca="1">'1ER PERIODOADMINISTRACION'!I52</f>
        <v>0</v>
      </c>
      <c r="L146" s="9">
        <f ca="1">'1ER PERIODOADMINISTRACION'!J52</f>
        <v>13271</v>
      </c>
      <c r="M146" s="9">
        <f ca="1">'1ER PERIODOADMINISTRACION'!K52</f>
        <v>15834</v>
      </c>
      <c r="N146" s="9">
        <f ca="1">'1ER PERIODOADMINISTRACION'!L52</f>
        <v>17889</v>
      </c>
      <c r="O146" s="9">
        <f ca="1">'1ER PERIODOADMINISTRACION'!M52</f>
        <v>0</v>
      </c>
      <c r="P146" s="9">
        <f ca="1">'1ER PERIODOADMINISTRACION'!N52</f>
        <v>0</v>
      </c>
      <c r="Q146" s="9">
        <f ca="1">'1ER PERIODOADMINISTRACION'!O52</f>
        <v>0</v>
      </c>
      <c r="R146" s="9">
        <f ca="1">'1ER PERIODOADMINISTRACION'!P52</f>
        <v>0</v>
      </c>
      <c r="S146" s="9">
        <f ca="1">'1ER PERIODOADMINISTRACION'!Q52</f>
        <v>0</v>
      </c>
      <c r="T146" s="9">
        <f ca="1">'1ER PERIODOADMINISTRACION'!R52</f>
        <v>0</v>
      </c>
      <c r="U146" s="9">
        <f ca="1">'1ER PERIODOADMINISTRACION'!S52</f>
        <v>46994</v>
      </c>
    </row>
    <row r="147" spans="1:21" ht="39.75" customHeight="1">
      <c r="A147" s="30"/>
      <c r="B147" s="30"/>
      <c r="C147" s="4" t="s">
        <v>176</v>
      </c>
      <c r="D147" s="9">
        <f ca="1">'1ER PERIODOADMINISTRACION'!B53</f>
        <v>1</v>
      </c>
      <c r="E147" s="9">
        <f>'1ER PERIODOADMINISTRACION'!C53</f>
        <v>0</v>
      </c>
      <c r="F147" s="9" t="str">
        <f ca="1">'1ER PERIODOADMINISTRACION'!D53</f>
        <v>ASCENDENTE</v>
      </c>
      <c r="G147" s="9" t="str">
        <f ca="1">'1ER PERIODOADMINISTRACION'!E53</f>
        <v>BITACORA OPERATIVA</v>
      </c>
      <c r="H147" s="9">
        <f ca="1">'1ER PERIODOADMINISTRACION'!F53</f>
        <v>0</v>
      </c>
      <c r="I147" s="9">
        <f ca="1">'1ER PERIODOADMINISTRACION'!G53</f>
        <v>0</v>
      </c>
      <c r="J147" s="9">
        <f ca="1">'1ER PERIODOADMINISTRACION'!H53</f>
        <v>0</v>
      </c>
      <c r="K147" s="9">
        <f ca="1">'1ER PERIODOADMINISTRACION'!I53</f>
        <v>0</v>
      </c>
      <c r="L147" s="9">
        <f ca="1">'1ER PERIODOADMINISTRACION'!J53</f>
        <v>57</v>
      </c>
      <c r="M147" s="9">
        <f ca="1">'1ER PERIODOADMINISTRACION'!K53</f>
        <v>61</v>
      </c>
      <c r="N147" s="9">
        <f ca="1">'1ER PERIODOADMINISTRACION'!L53</f>
        <v>63</v>
      </c>
      <c r="O147" s="9">
        <f ca="1">'1ER PERIODOADMINISTRACION'!M53</f>
        <v>0</v>
      </c>
      <c r="P147" s="9">
        <f ca="1">'1ER PERIODOADMINISTRACION'!N53</f>
        <v>0</v>
      </c>
      <c r="Q147" s="9">
        <f ca="1">'1ER PERIODOADMINISTRACION'!O53</f>
        <v>0</v>
      </c>
      <c r="R147" s="9">
        <f ca="1">'1ER PERIODOADMINISTRACION'!P53</f>
        <v>0</v>
      </c>
      <c r="S147" s="9">
        <f ca="1">'1ER PERIODOADMINISTRACION'!Q53</f>
        <v>0</v>
      </c>
      <c r="T147" s="9">
        <f ca="1">'1ER PERIODOADMINISTRACION'!R53</f>
        <v>0</v>
      </c>
      <c r="U147" s="9">
        <f ca="1">'1ER PERIODOADMINISTRACION'!S53</f>
        <v>181</v>
      </c>
    </row>
    <row r="148" spans="1:21" ht="39.75" customHeight="1">
      <c r="A148" s="30"/>
      <c r="B148" s="30"/>
      <c r="C148" s="4" t="s">
        <v>184</v>
      </c>
      <c r="D148" s="9">
        <f ca="1">'1ER PERIODOADMINISTRACION'!B54</f>
        <v>1</v>
      </c>
      <c r="E148" s="9">
        <f>'1ER PERIODOADMINISTRACION'!C54</f>
        <v>0</v>
      </c>
      <c r="F148" s="9" t="str">
        <f ca="1">'1ER PERIODOADMINISTRACION'!D54</f>
        <v>ASCENDENTE</v>
      </c>
      <c r="G148" s="9" t="str">
        <f ca="1">'1ER PERIODOADMINISTRACION'!E54</f>
        <v>BITACORA OPERATIVA</v>
      </c>
      <c r="H148" s="9">
        <f ca="1">'1ER PERIODOADMINISTRACION'!F54</f>
        <v>0</v>
      </c>
      <c r="I148" s="9">
        <f ca="1">'1ER PERIODOADMINISTRACION'!G54</f>
        <v>0</v>
      </c>
      <c r="J148" s="9">
        <f ca="1">'1ER PERIODOADMINISTRACION'!H54</f>
        <v>0</v>
      </c>
      <c r="K148" s="9">
        <f ca="1">'1ER PERIODOADMINISTRACION'!I54</f>
        <v>0</v>
      </c>
      <c r="L148" s="9">
        <f ca="1">'1ER PERIODOADMINISTRACION'!J54</f>
        <v>34</v>
      </c>
      <c r="M148" s="9">
        <f ca="1">'1ER PERIODOADMINISTRACION'!K54</f>
        <v>34</v>
      </c>
      <c r="N148" s="9">
        <f ca="1">'1ER PERIODOADMINISTRACION'!L54</f>
        <v>29</v>
      </c>
      <c r="O148" s="9">
        <f ca="1">'1ER PERIODOADMINISTRACION'!M54</f>
        <v>0</v>
      </c>
      <c r="P148" s="9">
        <f ca="1">'1ER PERIODOADMINISTRACION'!N54</f>
        <v>0</v>
      </c>
      <c r="Q148" s="9">
        <f ca="1">'1ER PERIODOADMINISTRACION'!O54</f>
        <v>0</v>
      </c>
      <c r="R148" s="9">
        <f ca="1">'1ER PERIODOADMINISTRACION'!P54</f>
        <v>0</v>
      </c>
      <c r="S148" s="9">
        <f ca="1">'1ER PERIODOADMINISTRACION'!Q54</f>
        <v>0</v>
      </c>
      <c r="T148" s="9">
        <f ca="1">'1ER PERIODOADMINISTRACION'!R54</f>
        <v>0</v>
      </c>
      <c r="U148" s="9">
        <f ca="1">'1ER PERIODOADMINISTRACION'!S54</f>
        <v>97</v>
      </c>
    </row>
    <row r="149" spans="1:21" ht="39.75" customHeight="1">
      <c r="A149" s="30"/>
      <c r="B149" s="30"/>
      <c r="C149" s="4" t="s">
        <v>185</v>
      </c>
      <c r="D149" s="9">
        <f ca="1">'1ER PERIODOADMINISTRACION'!B55</f>
        <v>1</v>
      </c>
      <c r="E149" s="9">
        <f>'1ER PERIODOADMINISTRACION'!C55</f>
        <v>0</v>
      </c>
      <c r="F149" s="9" t="str">
        <f ca="1">'1ER PERIODOADMINISTRACION'!D55</f>
        <v>ASCENDENTE</v>
      </c>
      <c r="G149" s="9" t="str">
        <f ca="1">'1ER PERIODOADMINISTRACION'!E55</f>
        <v>BITACORA OPERATIVA</v>
      </c>
      <c r="H149" s="9">
        <f ca="1">'1ER PERIODOADMINISTRACION'!F55</f>
        <v>0</v>
      </c>
      <c r="I149" s="9">
        <f ca="1">'1ER PERIODOADMINISTRACION'!G55</f>
        <v>0</v>
      </c>
      <c r="J149" s="9">
        <f ca="1">'1ER PERIODOADMINISTRACION'!H55</f>
        <v>0</v>
      </c>
      <c r="K149" s="9">
        <f ca="1">'1ER PERIODOADMINISTRACION'!I55</f>
        <v>0</v>
      </c>
      <c r="L149" s="9">
        <f ca="1">'1ER PERIODOADMINISTRACION'!J55</f>
        <v>16</v>
      </c>
      <c r="M149" s="9">
        <f ca="1">'1ER PERIODOADMINISTRACION'!K55</f>
        <v>16</v>
      </c>
      <c r="N149" s="9">
        <f ca="1">'1ER PERIODOADMINISTRACION'!L55</f>
        <v>12</v>
      </c>
      <c r="O149" s="9">
        <f ca="1">'1ER PERIODOADMINISTRACION'!M55</f>
        <v>0</v>
      </c>
      <c r="P149" s="9">
        <f ca="1">'1ER PERIODOADMINISTRACION'!N55</f>
        <v>0</v>
      </c>
      <c r="Q149" s="9">
        <f ca="1">'1ER PERIODOADMINISTRACION'!O55</f>
        <v>0</v>
      </c>
      <c r="R149" s="9">
        <f ca="1">'1ER PERIODOADMINISTRACION'!P55</f>
        <v>0</v>
      </c>
      <c r="S149" s="9">
        <f ca="1">'1ER PERIODOADMINISTRACION'!Q55</f>
        <v>0</v>
      </c>
      <c r="T149" s="9">
        <f ca="1">'1ER PERIODOADMINISTRACION'!R55</f>
        <v>0</v>
      </c>
      <c r="U149" s="9">
        <f ca="1">'1ER PERIODOADMINISTRACION'!S55</f>
        <v>44</v>
      </c>
    </row>
    <row r="150" spans="1:21" ht="39.75" customHeight="1">
      <c r="A150" s="30"/>
      <c r="B150" s="31"/>
      <c r="C150" s="4" t="s">
        <v>186</v>
      </c>
      <c r="D150" s="9">
        <f ca="1">'1ER PERIODOADMINISTRACION'!B56</f>
        <v>1</v>
      </c>
      <c r="E150" s="9">
        <f>'1ER PERIODOADMINISTRACION'!C56</f>
        <v>0</v>
      </c>
      <c r="F150" s="9" t="str">
        <f ca="1">'1ER PERIODOADMINISTRACION'!D56</f>
        <v>ASCENDENTE</v>
      </c>
      <c r="G150" s="9" t="str">
        <f ca="1">'1ER PERIODOADMINISTRACION'!E56</f>
        <v>BITACORA OPERATIVA</v>
      </c>
      <c r="H150" s="9">
        <f ca="1">'1ER PERIODOADMINISTRACION'!F56</f>
        <v>0</v>
      </c>
      <c r="I150" s="9">
        <f ca="1">'1ER PERIODOADMINISTRACION'!G56</f>
        <v>0</v>
      </c>
      <c r="J150" s="9">
        <f ca="1">'1ER PERIODOADMINISTRACION'!H56</f>
        <v>0</v>
      </c>
      <c r="K150" s="9">
        <f ca="1">'1ER PERIODOADMINISTRACION'!I56</f>
        <v>0</v>
      </c>
      <c r="L150" s="9">
        <f ca="1">'1ER PERIODOADMINISTRACION'!J56</f>
        <v>5</v>
      </c>
      <c r="M150" s="9">
        <f ca="1">'1ER PERIODOADMINISTRACION'!K56</f>
        <v>6</v>
      </c>
      <c r="N150" s="9">
        <f ca="1">'1ER PERIODOADMINISTRACION'!L56</f>
        <v>5</v>
      </c>
      <c r="O150" s="9">
        <f ca="1">'1ER PERIODOADMINISTRACION'!M56</f>
        <v>0</v>
      </c>
      <c r="P150" s="9">
        <f ca="1">'1ER PERIODOADMINISTRACION'!N56</f>
        <v>0</v>
      </c>
      <c r="Q150" s="9">
        <f ca="1">'1ER PERIODOADMINISTRACION'!O56</f>
        <v>0</v>
      </c>
      <c r="R150" s="9">
        <f ca="1">'1ER PERIODOADMINISTRACION'!P56</f>
        <v>0</v>
      </c>
      <c r="S150" s="9">
        <f ca="1">'1ER PERIODOADMINISTRACION'!Q56</f>
        <v>0</v>
      </c>
      <c r="T150" s="9">
        <f ca="1">'1ER PERIODOADMINISTRACION'!R56</f>
        <v>0</v>
      </c>
      <c r="U150" s="9">
        <f ca="1">'1ER PERIODOADMINISTRACION'!S56</f>
        <v>16</v>
      </c>
    </row>
    <row r="151" spans="1:21" ht="39.75" customHeight="1">
      <c r="A151" s="30"/>
      <c r="B151" s="29" t="s">
        <v>187</v>
      </c>
      <c r="C151" s="4" t="s">
        <v>188</v>
      </c>
      <c r="D151" s="9">
        <f ca="1">'1ER PERIODOADMINISTRACION'!B57</f>
        <v>1</v>
      </c>
      <c r="E151" s="9">
        <f>'1ER PERIODOADMINISTRACION'!C57</f>
        <v>0</v>
      </c>
      <c r="F151" s="9" t="str">
        <f ca="1">'1ER PERIODOADMINISTRACION'!D57</f>
        <v>ASCENDENTE</v>
      </c>
      <c r="G151" s="9" t="str">
        <f ca="1">'1ER PERIODOADMINISTRACION'!E57</f>
        <v>BITACORA OPERATIVA</v>
      </c>
      <c r="H151" s="9">
        <f ca="1">'1ER PERIODOADMINISTRACION'!F57</f>
        <v>0</v>
      </c>
      <c r="I151" s="9">
        <f ca="1">'1ER PERIODOADMINISTRACION'!G57</f>
        <v>0</v>
      </c>
      <c r="J151" s="9">
        <f ca="1">'1ER PERIODOADMINISTRACION'!H57</f>
        <v>0</v>
      </c>
      <c r="K151" s="9">
        <f ca="1">'1ER PERIODOADMINISTRACION'!I57</f>
        <v>0</v>
      </c>
      <c r="L151" s="9">
        <f ca="1">'1ER PERIODOADMINISTRACION'!J57</f>
        <v>15</v>
      </c>
      <c r="M151" s="9">
        <f ca="1">'1ER PERIODOADMINISTRACION'!K57</f>
        <v>16</v>
      </c>
      <c r="N151" s="9">
        <f ca="1">'1ER PERIODOADMINISTRACION'!L57</f>
        <v>18</v>
      </c>
      <c r="O151" s="9">
        <f ca="1">'1ER PERIODOADMINISTRACION'!M57</f>
        <v>0</v>
      </c>
      <c r="P151" s="9">
        <f ca="1">'1ER PERIODOADMINISTRACION'!N57</f>
        <v>0</v>
      </c>
      <c r="Q151" s="9">
        <f ca="1">'1ER PERIODOADMINISTRACION'!O57</f>
        <v>0</v>
      </c>
      <c r="R151" s="9">
        <f ca="1">'1ER PERIODOADMINISTRACION'!P57</f>
        <v>0</v>
      </c>
      <c r="S151" s="9">
        <f ca="1">'1ER PERIODOADMINISTRACION'!Q57</f>
        <v>0</v>
      </c>
      <c r="T151" s="9">
        <f ca="1">'1ER PERIODOADMINISTRACION'!R57</f>
        <v>0</v>
      </c>
      <c r="U151" s="9">
        <f ca="1">'1ER PERIODOADMINISTRACION'!S57</f>
        <v>49</v>
      </c>
    </row>
    <row r="152" spans="1:21" ht="39.75" customHeight="1">
      <c r="A152" s="30"/>
      <c r="B152" s="30"/>
      <c r="C152" s="4" t="s">
        <v>189</v>
      </c>
      <c r="D152" s="9">
        <f ca="1">'1ER PERIODOADMINISTRACION'!B58</f>
        <v>1</v>
      </c>
      <c r="E152" s="9">
        <f>'1ER PERIODOADMINISTRACION'!C58</f>
        <v>0</v>
      </c>
      <c r="F152" s="9" t="str">
        <f ca="1">'1ER PERIODOADMINISTRACION'!D58</f>
        <v>ASCENDENTE</v>
      </c>
      <c r="G152" s="9" t="str">
        <f ca="1">'1ER PERIODOADMINISTRACION'!E58</f>
        <v>BITACORA OPERATIVA</v>
      </c>
      <c r="H152" s="9">
        <f ca="1">'1ER PERIODOADMINISTRACION'!F58</f>
        <v>0</v>
      </c>
      <c r="I152" s="9">
        <f ca="1">'1ER PERIODOADMINISTRACION'!G58</f>
        <v>0</v>
      </c>
      <c r="J152" s="9">
        <f ca="1">'1ER PERIODOADMINISTRACION'!H58</f>
        <v>0</v>
      </c>
      <c r="K152" s="9">
        <f ca="1">'1ER PERIODOADMINISTRACION'!I58</f>
        <v>0</v>
      </c>
      <c r="L152" s="9">
        <f ca="1">'1ER PERIODOADMINISTRACION'!J58</f>
        <v>3</v>
      </c>
      <c r="M152" s="9">
        <f ca="1">'1ER PERIODOADMINISTRACION'!K58</f>
        <v>4</v>
      </c>
      <c r="N152" s="9">
        <f ca="1">'1ER PERIODOADMINISTRACION'!L58</f>
        <v>4</v>
      </c>
      <c r="O152" s="9">
        <f ca="1">'1ER PERIODOADMINISTRACION'!M58</f>
        <v>0</v>
      </c>
      <c r="P152" s="9">
        <f ca="1">'1ER PERIODOADMINISTRACION'!N58</f>
        <v>0</v>
      </c>
      <c r="Q152" s="9">
        <f ca="1">'1ER PERIODOADMINISTRACION'!O58</f>
        <v>0</v>
      </c>
      <c r="R152" s="9">
        <f ca="1">'1ER PERIODOADMINISTRACION'!P58</f>
        <v>0</v>
      </c>
      <c r="S152" s="9">
        <f ca="1">'1ER PERIODOADMINISTRACION'!Q58</f>
        <v>0</v>
      </c>
      <c r="T152" s="9">
        <f ca="1">'1ER PERIODOADMINISTRACION'!R58</f>
        <v>0</v>
      </c>
      <c r="U152" s="9">
        <f ca="1">'1ER PERIODOADMINISTRACION'!S58</f>
        <v>11</v>
      </c>
    </row>
    <row r="153" spans="1:21" ht="39.75" customHeight="1">
      <c r="A153" s="30"/>
      <c r="B153" s="30"/>
      <c r="C153" s="4" t="s">
        <v>190</v>
      </c>
      <c r="D153" s="9">
        <f ca="1">'1ER PERIODOADMINISTRACION'!B59</f>
        <v>1</v>
      </c>
      <c r="E153" s="9">
        <f>'1ER PERIODOADMINISTRACION'!C59</f>
        <v>0</v>
      </c>
      <c r="F153" s="9" t="str">
        <f ca="1">'1ER PERIODOADMINISTRACION'!D59</f>
        <v>ASCENDENTE</v>
      </c>
      <c r="G153" s="9" t="str">
        <f ca="1">'1ER PERIODOADMINISTRACION'!E59</f>
        <v>BITACORA OPERATIVA</v>
      </c>
      <c r="H153" s="9">
        <f ca="1">'1ER PERIODOADMINISTRACION'!F59</f>
        <v>0</v>
      </c>
      <c r="I153" s="9">
        <f ca="1">'1ER PERIODOADMINISTRACION'!G59</f>
        <v>0</v>
      </c>
      <c r="J153" s="9">
        <f ca="1">'1ER PERIODOADMINISTRACION'!H59</f>
        <v>0</v>
      </c>
      <c r="K153" s="9">
        <f ca="1">'1ER PERIODOADMINISTRACION'!I59</f>
        <v>0</v>
      </c>
      <c r="L153" s="9">
        <f ca="1">'1ER PERIODOADMINISTRACION'!J59</f>
        <v>2</v>
      </c>
      <c r="M153" s="9">
        <f ca="1">'1ER PERIODOADMINISTRACION'!K59</f>
        <v>0</v>
      </c>
      <c r="N153" s="9">
        <f ca="1">'1ER PERIODOADMINISTRACION'!L59</f>
        <v>0</v>
      </c>
      <c r="O153" s="9">
        <f ca="1">'1ER PERIODOADMINISTRACION'!M59</f>
        <v>0</v>
      </c>
      <c r="P153" s="9">
        <f ca="1">'1ER PERIODOADMINISTRACION'!N59</f>
        <v>0</v>
      </c>
      <c r="Q153" s="9">
        <f ca="1">'1ER PERIODOADMINISTRACION'!O59</f>
        <v>0</v>
      </c>
      <c r="R153" s="9">
        <f ca="1">'1ER PERIODOADMINISTRACION'!P59</f>
        <v>0</v>
      </c>
      <c r="S153" s="9">
        <f ca="1">'1ER PERIODOADMINISTRACION'!Q59</f>
        <v>0</v>
      </c>
      <c r="T153" s="9">
        <f ca="1">'1ER PERIODOADMINISTRACION'!R59</f>
        <v>0</v>
      </c>
      <c r="U153" s="9">
        <f ca="1">'1ER PERIODOADMINISTRACION'!S59</f>
        <v>2</v>
      </c>
    </row>
    <row r="154" spans="1:21" ht="39.75" customHeight="1">
      <c r="A154" s="30"/>
      <c r="B154" s="30"/>
      <c r="C154" s="4" t="s">
        <v>191</v>
      </c>
      <c r="D154" s="9">
        <f ca="1">'1ER PERIODOADMINISTRACION'!B60</f>
        <v>1</v>
      </c>
      <c r="E154" s="9">
        <f>'1ER PERIODOADMINISTRACION'!C60</f>
        <v>0</v>
      </c>
      <c r="F154" s="9" t="str">
        <f ca="1">'1ER PERIODOADMINISTRACION'!D60</f>
        <v>ASCENDENTE</v>
      </c>
      <c r="G154" s="9" t="str">
        <f ca="1">'1ER PERIODOADMINISTRACION'!E60</f>
        <v>BITACORA OPERATIVA</v>
      </c>
      <c r="H154" s="9">
        <f ca="1">'1ER PERIODOADMINISTRACION'!F60</f>
        <v>0</v>
      </c>
      <c r="I154" s="9">
        <f ca="1">'1ER PERIODOADMINISTRACION'!G60</f>
        <v>0</v>
      </c>
      <c r="J154" s="9">
        <f ca="1">'1ER PERIODOADMINISTRACION'!H60</f>
        <v>0</v>
      </c>
      <c r="K154" s="9">
        <f ca="1">'1ER PERIODOADMINISTRACION'!I60</f>
        <v>0</v>
      </c>
      <c r="L154" s="9">
        <f ca="1">'1ER PERIODOADMINISTRACION'!J60</f>
        <v>30</v>
      </c>
      <c r="M154" s="9">
        <f ca="1">'1ER PERIODOADMINISTRACION'!K60</f>
        <v>0</v>
      </c>
      <c r="N154" s="9">
        <f ca="1">'1ER PERIODOADMINISTRACION'!L60</f>
        <v>0</v>
      </c>
      <c r="O154" s="9">
        <f ca="1">'1ER PERIODOADMINISTRACION'!M60</f>
        <v>0</v>
      </c>
      <c r="P154" s="9">
        <f ca="1">'1ER PERIODOADMINISTRACION'!N60</f>
        <v>0</v>
      </c>
      <c r="Q154" s="9">
        <f ca="1">'1ER PERIODOADMINISTRACION'!O60</f>
        <v>0</v>
      </c>
      <c r="R154" s="9">
        <f ca="1">'1ER PERIODOADMINISTRACION'!P60</f>
        <v>0</v>
      </c>
      <c r="S154" s="9">
        <f ca="1">'1ER PERIODOADMINISTRACION'!Q60</f>
        <v>0</v>
      </c>
      <c r="T154" s="9">
        <f ca="1">'1ER PERIODOADMINISTRACION'!R60</f>
        <v>0</v>
      </c>
      <c r="U154" s="9">
        <f ca="1">'1ER PERIODOADMINISTRACION'!S60</f>
        <v>30</v>
      </c>
    </row>
    <row r="155" spans="1:21" ht="39.75" customHeight="1">
      <c r="A155" s="30"/>
      <c r="B155" s="30"/>
      <c r="C155" s="4" t="s">
        <v>192</v>
      </c>
      <c r="D155" s="9">
        <f ca="1">'1ER PERIODOADMINISTRACION'!B61</f>
        <v>1</v>
      </c>
      <c r="E155" s="9">
        <f>'1ER PERIODOADMINISTRACION'!C61</f>
        <v>0</v>
      </c>
      <c r="F155" s="9" t="str">
        <f ca="1">'1ER PERIODOADMINISTRACION'!D61</f>
        <v>ASCENDENTE</v>
      </c>
      <c r="G155" s="9" t="str">
        <f ca="1">'1ER PERIODOADMINISTRACION'!E61</f>
        <v>BITACORA OPERATIVA</v>
      </c>
      <c r="H155" s="9">
        <f ca="1">'1ER PERIODOADMINISTRACION'!F61</f>
        <v>0</v>
      </c>
      <c r="I155" s="9">
        <f ca="1">'1ER PERIODOADMINISTRACION'!G61</f>
        <v>0</v>
      </c>
      <c r="J155" s="9">
        <f ca="1">'1ER PERIODOADMINISTRACION'!H61</f>
        <v>0</v>
      </c>
      <c r="K155" s="9">
        <f ca="1">'1ER PERIODOADMINISTRACION'!I61</f>
        <v>0</v>
      </c>
      <c r="L155" s="9">
        <f ca="1">'1ER PERIODOADMINISTRACION'!J61</f>
        <v>130</v>
      </c>
      <c r="M155" s="9">
        <f ca="1">'1ER PERIODOADMINISTRACION'!K61</f>
        <v>140</v>
      </c>
      <c r="N155" s="9">
        <f ca="1">'1ER PERIODOADMINISTRACION'!L61</f>
        <v>140</v>
      </c>
      <c r="O155" s="9">
        <f ca="1">'1ER PERIODOADMINISTRACION'!M61</f>
        <v>0</v>
      </c>
      <c r="P155" s="9">
        <f ca="1">'1ER PERIODOADMINISTRACION'!N61</f>
        <v>0</v>
      </c>
      <c r="Q155" s="9">
        <f ca="1">'1ER PERIODOADMINISTRACION'!O61</f>
        <v>0</v>
      </c>
      <c r="R155" s="9">
        <f ca="1">'1ER PERIODOADMINISTRACION'!P61</f>
        <v>0</v>
      </c>
      <c r="S155" s="9">
        <f ca="1">'1ER PERIODOADMINISTRACION'!Q61</f>
        <v>0</v>
      </c>
      <c r="T155" s="9">
        <f ca="1">'1ER PERIODOADMINISTRACION'!R61</f>
        <v>0</v>
      </c>
      <c r="U155" s="9">
        <f ca="1">'1ER PERIODOADMINISTRACION'!S61</f>
        <v>410</v>
      </c>
    </row>
    <row r="156" spans="1:21" ht="39.75" customHeight="1">
      <c r="A156" s="30"/>
      <c r="B156" s="30"/>
      <c r="C156" s="4" t="s">
        <v>193</v>
      </c>
      <c r="D156" s="9">
        <f ca="1">'1ER PERIODOADMINISTRACION'!B62</f>
        <v>1</v>
      </c>
      <c r="E156" s="9">
        <f>'1ER PERIODOADMINISTRACION'!C62</f>
        <v>0</v>
      </c>
      <c r="F156" s="9" t="str">
        <f ca="1">'1ER PERIODOADMINISTRACION'!D62</f>
        <v>ASCENDENTE</v>
      </c>
      <c r="G156" s="9" t="str">
        <f ca="1">'1ER PERIODOADMINISTRACION'!E62</f>
        <v>BITACORA OPERATIVA</v>
      </c>
      <c r="H156" s="9">
        <f ca="1">'1ER PERIODOADMINISTRACION'!F62</f>
        <v>0</v>
      </c>
      <c r="I156" s="9">
        <f ca="1">'1ER PERIODOADMINISTRACION'!G62</f>
        <v>0</v>
      </c>
      <c r="J156" s="9">
        <f ca="1">'1ER PERIODOADMINISTRACION'!H62</f>
        <v>0</v>
      </c>
      <c r="K156" s="9">
        <f ca="1">'1ER PERIODOADMINISTRACION'!I62</f>
        <v>0</v>
      </c>
      <c r="L156" s="9">
        <f ca="1">'1ER PERIODOADMINISTRACION'!J62</f>
        <v>8</v>
      </c>
      <c r="M156" s="9">
        <f ca="1">'1ER PERIODOADMINISTRACION'!K62</f>
        <v>10</v>
      </c>
      <c r="N156" s="9">
        <f ca="1">'1ER PERIODOADMINISTRACION'!L62</f>
        <v>10</v>
      </c>
      <c r="O156" s="9">
        <f ca="1">'1ER PERIODOADMINISTRACION'!M62</f>
        <v>0</v>
      </c>
      <c r="P156" s="9">
        <f ca="1">'1ER PERIODOADMINISTRACION'!N62</f>
        <v>0</v>
      </c>
      <c r="Q156" s="9">
        <f ca="1">'1ER PERIODOADMINISTRACION'!O62</f>
        <v>0</v>
      </c>
      <c r="R156" s="9">
        <f ca="1">'1ER PERIODOADMINISTRACION'!P62</f>
        <v>0</v>
      </c>
      <c r="S156" s="9">
        <f ca="1">'1ER PERIODOADMINISTRACION'!Q62</f>
        <v>0</v>
      </c>
      <c r="T156" s="9">
        <f ca="1">'1ER PERIODOADMINISTRACION'!R62</f>
        <v>0</v>
      </c>
      <c r="U156" s="9">
        <f ca="1">'1ER PERIODOADMINISTRACION'!S62</f>
        <v>28</v>
      </c>
    </row>
    <row r="157" spans="1:21" ht="39.75" customHeight="1">
      <c r="A157" s="30"/>
      <c r="B157" s="30"/>
      <c r="C157" s="4" t="s">
        <v>194</v>
      </c>
      <c r="D157" s="9">
        <f ca="1">'1ER PERIODOADMINISTRACION'!B63</f>
        <v>1</v>
      </c>
      <c r="E157" s="9">
        <f>'1ER PERIODOADMINISTRACION'!C63</f>
        <v>0</v>
      </c>
      <c r="F157" s="9" t="str">
        <f ca="1">'1ER PERIODOADMINISTRACION'!D63</f>
        <v>ASCENDENTE</v>
      </c>
      <c r="G157" s="9" t="str">
        <f ca="1">'1ER PERIODOADMINISTRACION'!E63</f>
        <v>BITACORA OPERATIVA</v>
      </c>
      <c r="H157" s="9">
        <f ca="1">'1ER PERIODOADMINISTRACION'!F63</f>
        <v>0</v>
      </c>
      <c r="I157" s="9">
        <f ca="1">'1ER PERIODOADMINISTRACION'!G63</f>
        <v>0</v>
      </c>
      <c r="J157" s="9">
        <f ca="1">'1ER PERIODOADMINISTRACION'!H63</f>
        <v>0</v>
      </c>
      <c r="K157" s="9">
        <f ca="1">'1ER PERIODOADMINISTRACION'!I63</f>
        <v>0</v>
      </c>
      <c r="L157" s="9">
        <f ca="1">'1ER PERIODOADMINISTRACION'!J63</f>
        <v>100</v>
      </c>
      <c r="M157" s="9">
        <f ca="1">'1ER PERIODOADMINISTRACION'!K63</f>
        <v>0</v>
      </c>
      <c r="N157" s="9">
        <f ca="1">'1ER PERIODOADMINISTRACION'!L63</f>
        <v>0</v>
      </c>
      <c r="O157" s="9">
        <f ca="1">'1ER PERIODOADMINISTRACION'!M63</f>
        <v>0</v>
      </c>
      <c r="P157" s="9">
        <f ca="1">'1ER PERIODOADMINISTRACION'!N63</f>
        <v>0</v>
      </c>
      <c r="Q157" s="9">
        <f ca="1">'1ER PERIODOADMINISTRACION'!O63</f>
        <v>0</v>
      </c>
      <c r="R157" s="9">
        <f ca="1">'1ER PERIODOADMINISTRACION'!P63</f>
        <v>0</v>
      </c>
      <c r="S157" s="9">
        <f ca="1">'1ER PERIODOADMINISTRACION'!Q63</f>
        <v>0</v>
      </c>
      <c r="T157" s="9">
        <f ca="1">'1ER PERIODOADMINISTRACION'!R63</f>
        <v>0</v>
      </c>
      <c r="U157" s="9">
        <f ca="1">'1ER PERIODOADMINISTRACION'!S63</f>
        <v>100</v>
      </c>
    </row>
    <row r="158" spans="1:21" ht="39.75" customHeight="1">
      <c r="A158" s="30"/>
      <c r="B158" s="30"/>
      <c r="C158" s="4" t="s">
        <v>195</v>
      </c>
      <c r="D158" s="9">
        <f ca="1">'1ER PERIODOADMINISTRACION'!B64</f>
        <v>1</v>
      </c>
      <c r="E158" s="9">
        <f>'1ER PERIODOADMINISTRACION'!C64</f>
        <v>0</v>
      </c>
      <c r="F158" s="9" t="str">
        <f ca="1">'1ER PERIODOADMINISTRACION'!D64</f>
        <v>ASCENDENTE</v>
      </c>
      <c r="G158" s="9" t="str">
        <f ca="1">'1ER PERIODOADMINISTRACION'!E64</f>
        <v>BITACORA OPERATIVA</v>
      </c>
      <c r="H158" s="9">
        <f ca="1">'1ER PERIODOADMINISTRACION'!F64</f>
        <v>0</v>
      </c>
      <c r="I158" s="9">
        <f ca="1">'1ER PERIODOADMINISTRACION'!G64</f>
        <v>0</v>
      </c>
      <c r="J158" s="9">
        <f ca="1">'1ER PERIODOADMINISTRACION'!H64</f>
        <v>0</v>
      </c>
      <c r="K158" s="9">
        <f ca="1">'1ER PERIODOADMINISTRACION'!I64</f>
        <v>0</v>
      </c>
      <c r="L158" s="9">
        <f ca="1">'1ER PERIODOADMINISTRACION'!J64</f>
        <v>80</v>
      </c>
      <c r="M158" s="9">
        <f ca="1">'1ER PERIODOADMINISTRACION'!K64</f>
        <v>70</v>
      </c>
      <c r="N158" s="9">
        <f ca="1">'1ER PERIODOADMINISTRACION'!L64</f>
        <v>80</v>
      </c>
      <c r="O158" s="9">
        <f ca="1">'1ER PERIODOADMINISTRACION'!M64</f>
        <v>0</v>
      </c>
      <c r="P158" s="9">
        <f ca="1">'1ER PERIODOADMINISTRACION'!N64</f>
        <v>0</v>
      </c>
      <c r="Q158" s="9">
        <f ca="1">'1ER PERIODOADMINISTRACION'!O64</f>
        <v>0</v>
      </c>
      <c r="R158" s="9">
        <f ca="1">'1ER PERIODOADMINISTRACION'!P64</f>
        <v>0</v>
      </c>
      <c r="S158" s="9">
        <f ca="1">'1ER PERIODOADMINISTRACION'!Q64</f>
        <v>0</v>
      </c>
      <c r="T158" s="9">
        <f ca="1">'1ER PERIODOADMINISTRACION'!R64</f>
        <v>0</v>
      </c>
      <c r="U158" s="9">
        <f ca="1">'1ER PERIODOADMINISTRACION'!S64</f>
        <v>230</v>
      </c>
    </row>
    <row r="159" spans="1:21" ht="39.75" customHeight="1">
      <c r="A159" s="30"/>
      <c r="B159" s="30"/>
      <c r="C159" s="4" t="s">
        <v>196</v>
      </c>
      <c r="D159" s="9">
        <f ca="1">'1ER PERIODOADMINISTRACION'!B65</f>
        <v>1</v>
      </c>
      <c r="E159" s="9">
        <f>'1ER PERIODOADMINISTRACION'!C65</f>
        <v>0</v>
      </c>
      <c r="F159" s="9" t="str">
        <f ca="1">'1ER PERIODOADMINISTRACION'!D65</f>
        <v>ASCENDENTE</v>
      </c>
      <c r="G159" s="9" t="str">
        <f ca="1">'1ER PERIODOADMINISTRACION'!E65</f>
        <v>BITACORA OPERATIVA</v>
      </c>
      <c r="H159" s="9">
        <f ca="1">'1ER PERIODOADMINISTRACION'!F65</f>
        <v>0</v>
      </c>
      <c r="I159" s="9">
        <f ca="1">'1ER PERIODOADMINISTRACION'!G65</f>
        <v>0</v>
      </c>
      <c r="J159" s="9">
        <f ca="1">'1ER PERIODOADMINISTRACION'!H65</f>
        <v>0</v>
      </c>
      <c r="K159" s="9">
        <f ca="1">'1ER PERIODOADMINISTRACION'!I65</f>
        <v>0</v>
      </c>
      <c r="L159" s="9">
        <f ca="1">'1ER PERIODOADMINISTRACION'!J65</f>
        <v>120</v>
      </c>
      <c r="M159" s="9">
        <f ca="1">'1ER PERIODOADMINISTRACION'!K65</f>
        <v>130</v>
      </c>
      <c r="N159" s="9">
        <f ca="1">'1ER PERIODOADMINISTRACION'!L65</f>
        <v>130</v>
      </c>
      <c r="O159" s="9">
        <f ca="1">'1ER PERIODOADMINISTRACION'!M65</f>
        <v>0</v>
      </c>
      <c r="P159" s="9">
        <f ca="1">'1ER PERIODOADMINISTRACION'!N65</f>
        <v>0</v>
      </c>
      <c r="Q159" s="9">
        <f ca="1">'1ER PERIODOADMINISTRACION'!O65</f>
        <v>0</v>
      </c>
      <c r="R159" s="9">
        <f ca="1">'1ER PERIODOADMINISTRACION'!P65</f>
        <v>0</v>
      </c>
      <c r="S159" s="9">
        <f ca="1">'1ER PERIODOADMINISTRACION'!Q65</f>
        <v>0</v>
      </c>
      <c r="T159" s="9">
        <f ca="1">'1ER PERIODOADMINISTRACION'!R65</f>
        <v>0</v>
      </c>
      <c r="U159" s="9">
        <f ca="1">'1ER PERIODOADMINISTRACION'!S65</f>
        <v>380</v>
      </c>
    </row>
    <row r="160" spans="1:21" ht="39.75" customHeight="1">
      <c r="A160" s="30"/>
      <c r="B160" s="30"/>
      <c r="C160" s="4" t="s">
        <v>197</v>
      </c>
      <c r="D160" s="9">
        <f ca="1">'1ER PERIODOADMINISTRACION'!B66</f>
        <v>1</v>
      </c>
      <c r="E160" s="9">
        <f>'1ER PERIODOADMINISTRACION'!C66</f>
        <v>0</v>
      </c>
      <c r="F160" s="9" t="str">
        <f ca="1">'1ER PERIODOADMINISTRACION'!D66</f>
        <v>ASCENDENTE</v>
      </c>
      <c r="G160" s="9" t="str">
        <f ca="1">'1ER PERIODOADMINISTRACION'!E66</f>
        <v>BITACORA OPERATIVA</v>
      </c>
      <c r="H160" s="9">
        <f ca="1">'1ER PERIODOADMINISTRACION'!F66</f>
        <v>0</v>
      </c>
      <c r="I160" s="9">
        <f ca="1">'1ER PERIODOADMINISTRACION'!G66</f>
        <v>0</v>
      </c>
      <c r="J160" s="9">
        <f ca="1">'1ER PERIODOADMINISTRACION'!H66</f>
        <v>0</v>
      </c>
      <c r="K160" s="9">
        <f ca="1">'1ER PERIODOADMINISTRACION'!I66</f>
        <v>0</v>
      </c>
      <c r="L160" s="9">
        <f ca="1">'1ER PERIODOADMINISTRACION'!J66</f>
        <v>15</v>
      </c>
      <c r="M160" s="9">
        <f ca="1">'1ER PERIODOADMINISTRACION'!K66</f>
        <v>14</v>
      </c>
      <c r="N160" s="9">
        <f ca="1">'1ER PERIODOADMINISTRACION'!L66</f>
        <v>16</v>
      </c>
      <c r="O160" s="9">
        <f ca="1">'1ER PERIODOADMINISTRACION'!M66</f>
        <v>0</v>
      </c>
      <c r="P160" s="9">
        <f ca="1">'1ER PERIODOADMINISTRACION'!N66</f>
        <v>0</v>
      </c>
      <c r="Q160" s="9">
        <f ca="1">'1ER PERIODOADMINISTRACION'!O66</f>
        <v>0</v>
      </c>
      <c r="R160" s="9">
        <f ca="1">'1ER PERIODOADMINISTRACION'!P66</f>
        <v>0</v>
      </c>
      <c r="S160" s="9">
        <f ca="1">'1ER PERIODOADMINISTRACION'!Q66</f>
        <v>0</v>
      </c>
      <c r="T160" s="9">
        <f ca="1">'1ER PERIODOADMINISTRACION'!R66</f>
        <v>0</v>
      </c>
      <c r="U160" s="9">
        <f ca="1">'1ER PERIODOADMINISTRACION'!S66</f>
        <v>45</v>
      </c>
    </row>
    <row r="161" spans="1:21" ht="39.75" customHeight="1">
      <c r="A161" s="30"/>
      <c r="B161" s="30"/>
      <c r="C161" s="4" t="s">
        <v>198</v>
      </c>
      <c r="D161" s="9">
        <f ca="1">'1ER PERIODOADMINISTRACION'!B67</f>
        <v>1</v>
      </c>
      <c r="E161" s="9">
        <f>'1ER PERIODOADMINISTRACION'!C67</f>
        <v>0</v>
      </c>
      <c r="F161" s="9" t="str">
        <f ca="1">'1ER PERIODOADMINISTRACION'!D67</f>
        <v>ASCENDENTE</v>
      </c>
      <c r="G161" s="9" t="str">
        <f ca="1">'1ER PERIODOADMINISTRACION'!E67</f>
        <v>BITACORA OPERATIVA</v>
      </c>
      <c r="H161" s="9">
        <f ca="1">'1ER PERIODOADMINISTRACION'!F67</f>
        <v>0</v>
      </c>
      <c r="I161" s="9">
        <f ca="1">'1ER PERIODOADMINISTRACION'!G67</f>
        <v>0</v>
      </c>
      <c r="J161" s="9">
        <f ca="1">'1ER PERIODOADMINISTRACION'!H67</f>
        <v>0</v>
      </c>
      <c r="K161" s="9">
        <f ca="1">'1ER PERIODOADMINISTRACION'!I67</f>
        <v>0</v>
      </c>
      <c r="L161" s="9">
        <f ca="1">'1ER PERIODOADMINISTRACION'!J67</f>
        <v>150</v>
      </c>
      <c r="M161" s="9">
        <f ca="1">'1ER PERIODOADMINISTRACION'!K67</f>
        <v>140</v>
      </c>
      <c r="N161" s="9">
        <f ca="1">'1ER PERIODOADMINISTRACION'!L67</f>
        <v>150</v>
      </c>
      <c r="O161" s="9">
        <f ca="1">'1ER PERIODOADMINISTRACION'!M67</f>
        <v>0</v>
      </c>
      <c r="P161" s="9">
        <f ca="1">'1ER PERIODOADMINISTRACION'!N67</f>
        <v>0</v>
      </c>
      <c r="Q161" s="9">
        <f ca="1">'1ER PERIODOADMINISTRACION'!O67</f>
        <v>0</v>
      </c>
      <c r="R161" s="9">
        <f ca="1">'1ER PERIODOADMINISTRACION'!P67</f>
        <v>0</v>
      </c>
      <c r="S161" s="9">
        <f ca="1">'1ER PERIODOADMINISTRACION'!Q67</f>
        <v>0</v>
      </c>
      <c r="T161" s="9">
        <f ca="1">'1ER PERIODOADMINISTRACION'!R67</f>
        <v>0</v>
      </c>
      <c r="U161" s="9">
        <f ca="1">'1ER PERIODOADMINISTRACION'!S67</f>
        <v>440</v>
      </c>
    </row>
    <row r="162" spans="1:21" ht="39.75" customHeight="1">
      <c r="A162" s="30"/>
      <c r="B162" s="30"/>
      <c r="C162" s="4" t="s">
        <v>199</v>
      </c>
      <c r="D162" s="9">
        <f ca="1">'1ER PERIODOADMINISTRACION'!B68</f>
        <v>1</v>
      </c>
      <c r="E162" s="9">
        <f>'1ER PERIODOADMINISTRACION'!C68</f>
        <v>0</v>
      </c>
      <c r="F162" s="9" t="str">
        <f ca="1">'1ER PERIODOADMINISTRACION'!D68</f>
        <v>ASCENDENTE</v>
      </c>
      <c r="G162" s="9" t="str">
        <f ca="1">'1ER PERIODOADMINISTRACION'!E68</f>
        <v>BITACORA OPERATIVA</v>
      </c>
      <c r="H162" s="9">
        <f ca="1">'1ER PERIODOADMINISTRACION'!F68</f>
        <v>0</v>
      </c>
      <c r="I162" s="9">
        <f ca="1">'1ER PERIODOADMINISTRACION'!G68</f>
        <v>0</v>
      </c>
      <c r="J162" s="9">
        <f ca="1">'1ER PERIODOADMINISTRACION'!H68</f>
        <v>0</v>
      </c>
      <c r="K162" s="9">
        <f ca="1">'1ER PERIODOADMINISTRACION'!I68</f>
        <v>0</v>
      </c>
      <c r="L162" s="9">
        <f ca="1">'1ER PERIODOADMINISTRACION'!J68</f>
        <v>60</v>
      </c>
      <c r="M162" s="9">
        <f ca="1">'1ER PERIODOADMINISTRACION'!K68</f>
        <v>60</v>
      </c>
      <c r="N162" s="9">
        <f ca="1">'1ER PERIODOADMINISTRACION'!L68</f>
        <v>60</v>
      </c>
      <c r="O162" s="9">
        <f ca="1">'1ER PERIODOADMINISTRACION'!M68</f>
        <v>0</v>
      </c>
      <c r="P162" s="9">
        <f ca="1">'1ER PERIODOADMINISTRACION'!N68</f>
        <v>0</v>
      </c>
      <c r="Q162" s="9">
        <f ca="1">'1ER PERIODOADMINISTRACION'!O68</f>
        <v>0</v>
      </c>
      <c r="R162" s="9">
        <f ca="1">'1ER PERIODOADMINISTRACION'!P68</f>
        <v>0</v>
      </c>
      <c r="S162" s="9">
        <f ca="1">'1ER PERIODOADMINISTRACION'!Q68</f>
        <v>0</v>
      </c>
      <c r="T162" s="9">
        <f ca="1">'1ER PERIODOADMINISTRACION'!R68</f>
        <v>0</v>
      </c>
      <c r="U162" s="9">
        <f ca="1">'1ER PERIODOADMINISTRACION'!S68</f>
        <v>180</v>
      </c>
    </row>
    <row r="163" spans="1:21" ht="39.75" customHeight="1">
      <c r="A163" s="30"/>
      <c r="B163" s="30"/>
      <c r="C163" s="4" t="s">
        <v>200</v>
      </c>
      <c r="D163" s="9">
        <f ca="1">'1ER PERIODOADMINISTRACION'!B69</f>
        <v>1</v>
      </c>
      <c r="E163" s="9">
        <f>'1ER PERIODOADMINISTRACION'!C69</f>
        <v>0</v>
      </c>
      <c r="F163" s="9" t="str">
        <f ca="1">'1ER PERIODOADMINISTRACION'!D69</f>
        <v>ASCENDENTE</v>
      </c>
      <c r="G163" s="9" t="str">
        <f ca="1">'1ER PERIODOADMINISTRACION'!E69</f>
        <v>BITACORA OPERATIVA</v>
      </c>
      <c r="H163" s="9">
        <f ca="1">'1ER PERIODOADMINISTRACION'!F69</f>
        <v>0</v>
      </c>
      <c r="I163" s="9">
        <f ca="1">'1ER PERIODOADMINISTRACION'!G69</f>
        <v>0</v>
      </c>
      <c r="J163" s="9">
        <f ca="1">'1ER PERIODOADMINISTRACION'!H69</f>
        <v>0</v>
      </c>
      <c r="K163" s="9">
        <f ca="1">'1ER PERIODOADMINISTRACION'!I69</f>
        <v>0</v>
      </c>
      <c r="L163" s="9">
        <f ca="1">'1ER PERIODOADMINISTRACION'!J69</f>
        <v>12</v>
      </c>
      <c r="M163" s="9">
        <f ca="1">'1ER PERIODOADMINISTRACION'!K69</f>
        <v>10</v>
      </c>
      <c r="N163" s="9">
        <f ca="1">'1ER PERIODOADMINISTRACION'!L69</f>
        <v>8</v>
      </c>
      <c r="O163" s="9">
        <f ca="1">'1ER PERIODOADMINISTRACION'!M69</f>
        <v>0</v>
      </c>
      <c r="P163" s="9">
        <f ca="1">'1ER PERIODOADMINISTRACION'!N69</f>
        <v>0</v>
      </c>
      <c r="Q163" s="9">
        <f ca="1">'1ER PERIODOADMINISTRACION'!O69</f>
        <v>0</v>
      </c>
      <c r="R163" s="9">
        <f ca="1">'1ER PERIODOADMINISTRACION'!P69</f>
        <v>0</v>
      </c>
      <c r="S163" s="9">
        <f ca="1">'1ER PERIODOADMINISTRACION'!Q69</f>
        <v>0</v>
      </c>
      <c r="T163" s="9">
        <f ca="1">'1ER PERIODOADMINISTRACION'!R69</f>
        <v>0</v>
      </c>
      <c r="U163" s="9">
        <f ca="1">'1ER PERIODOADMINISTRACION'!S69</f>
        <v>30</v>
      </c>
    </row>
    <row r="164" spans="1:21" ht="39.75" customHeight="1">
      <c r="A164" s="30"/>
      <c r="B164" s="30"/>
      <c r="C164" s="4" t="s">
        <v>201</v>
      </c>
      <c r="D164" s="9">
        <f ca="1">'1ER PERIODOADMINISTRACION'!B70</f>
        <v>1</v>
      </c>
      <c r="E164" s="9">
        <f>'1ER PERIODOADMINISTRACION'!C70</f>
        <v>0</v>
      </c>
      <c r="F164" s="9" t="str">
        <f ca="1">'1ER PERIODOADMINISTRACION'!D70</f>
        <v>ASCENDENTE</v>
      </c>
      <c r="G164" s="9" t="str">
        <f ca="1">'1ER PERIODOADMINISTRACION'!E70</f>
        <v>BITACORA OPERATIVA</v>
      </c>
      <c r="H164" s="9">
        <f ca="1">'1ER PERIODOADMINISTRACION'!F70</f>
        <v>0</v>
      </c>
      <c r="I164" s="9">
        <f ca="1">'1ER PERIODOADMINISTRACION'!G70</f>
        <v>0</v>
      </c>
      <c r="J164" s="9">
        <f ca="1">'1ER PERIODOADMINISTRACION'!H70</f>
        <v>0</v>
      </c>
      <c r="K164" s="9">
        <f ca="1">'1ER PERIODOADMINISTRACION'!I70</f>
        <v>0</v>
      </c>
      <c r="L164" s="9">
        <f ca="1">'1ER PERIODOADMINISTRACION'!J70</f>
        <v>880</v>
      </c>
      <c r="M164" s="9">
        <f ca="1">'1ER PERIODOADMINISTRACION'!K70</f>
        <v>890</v>
      </c>
      <c r="N164" s="9">
        <f ca="1">'1ER PERIODOADMINISTRACION'!L70</f>
        <v>1000</v>
      </c>
      <c r="O164" s="9">
        <f ca="1">'1ER PERIODOADMINISTRACION'!M70</f>
        <v>0</v>
      </c>
      <c r="P164" s="9">
        <f ca="1">'1ER PERIODOADMINISTRACION'!N70</f>
        <v>0</v>
      </c>
      <c r="Q164" s="9">
        <f ca="1">'1ER PERIODOADMINISTRACION'!O70</f>
        <v>0</v>
      </c>
      <c r="R164" s="9">
        <f ca="1">'1ER PERIODOADMINISTRACION'!P70</f>
        <v>0</v>
      </c>
      <c r="S164" s="9">
        <f ca="1">'1ER PERIODOADMINISTRACION'!Q70</f>
        <v>0</v>
      </c>
      <c r="T164" s="9">
        <f ca="1">'1ER PERIODOADMINISTRACION'!R70</f>
        <v>0</v>
      </c>
      <c r="U164" s="9">
        <f ca="1">'1ER PERIODOADMINISTRACION'!S70</f>
        <v>2770</v>
      </c>
    </row>
    <row r="165" spans="1:21" ht="39.75" customHeight="1">
      <c r="A165" s="30"/>
      <c r="B165" s="30"/>
      <c r="C165" s="4" t="s">
        <v>202</v>
      </c>
      <c r="D165" s="9">
        <f ca="1">'1ER PERIODOADMINISTRACION'!B71</f>
        <v>1</v>
      </c>
      <c r="E165" s="9">
        <f>'1ER PERIODOADMINISTRACION'!C71</f>
        <v>0</v>
      </c>
      <c r="F165" s="9" t="str">
        <f ca="1">'1ER PERIODOADMINISTRACION'!D71</f>
        <v>ASCENDENTE</v>
      </c>
      <c r="G165" s="9" t="str">
        <f ca="1">'1ER PERIODOADMINISTRACION'!E71</f>
        <v>BITACORA OPERATIVA</v>
      </c>
      <c r="H165" s="9">
        <f ca="1">'1ER PERIODOADMINISTRACION'!F71</f>
        <v>0</v>
      </c>
      <c r="I165" s="9">
        <f ca="1">'1ER PERIODOADMINISTRACION'!G71</f>
        <v>0</v>
      </c>
      <c r="J165" s="9">
        <f ca="1">'1ER PERIODOADMINISTRACION'!H71</f>
        <v>0</v>
      </c>
      <c r="K165" s="9">
        <f ca="1">'1ER PERIODOADMINISTRACION'!I71</f>
        <v>0</v>
      </c>
      <c r="L165" s="9">
        <f ca="1">'1ER PERIODOADMINISTRACION'!J71</f>
        <v>200</v>
      </c>
      <c r="M165" s="9">
        <f ca="1">'1ER PERIODOADMINISTRACION'!K71</f>
        <v>180</v>
      </c>
      <c r="N165" s="9">
        <f ca="1">'1ER PERIODOADMINISTRACION'!L71</f>
        <v>200</v>
      </c>
      <c r="O165" s="9">
        <f ca="1">'1ER PERIODOADMINISTRACION'!M71</f>
        <v>0</v>
      </c>
      <c r="P165" s="9">
        <f ca="1">'1ER PERIODOADMINISTRACION'!N71</f>
        <v>0</v>
      </c>
      <c r="Q165" s="9">
        <f ca="1">'1ER PERIODOADMINISTRACION'!O71</f>
        <v>0</v>
      </c>
      <c r="R165" s="9">
        <f ca="1">'1ER PERIODOADMINISTRACION'!P71</f>
        <v>0</v>
      </c>
      <c r="S165" s="9">
        <f ca="1">'1ER PERIODOADMINISTRACION'!Q71</f>
        <v>0</v>
      </c>
      <c r="T165" s="9">
        <f ca="1">'1ER PERIODOADMINISTRACION'!R71</f>
        <v>0</v>
      </c>
      <c r="U165" s="9">
        <f ca="1">'1ER PERIODOADMINISTRACION'!S71</f>
        <v>580</v>
      </c>
    </row>
    <row r="166" spans="1:21" ht="39.75" customHeight="1">
      <c r="A166" s="30"/>
      <c r="B166" s="30"/>
      <c r="C166" s="4" t="s">
        <v>203</v>
      </c>
      <c r="D166" s="9">
        <f ca="1">'1ER PERIODOADMINISTRACION'!B72</f>
        <v>1</v>
      </c>
      <c r="E166" s="9">
        <f>'1ER PERIODOADMINISTRACION'!C72</f>
        <v>0</v>
      </c>
      <c r="F166" s="9" t="str">
        <f ca="1">'1ER PERIODOADMINISTRACION'!D72</f>
        <v>ASCENDENTE</v>
      </c>
      <c r="G166" s="9" t="str">
        <f ca="1">'1ER PERIODOADMINISTRACION'!E72</f>
        <v>BITACORA OPERATIVA</v>
      </c>
      <c r="H166" s="9">
        <f ca="1">'1ER PERIODOADMINISTRACION'!F72</f>
        <v>0</v>
      </c>
      <c r="I166" s="9">
        <f ca="1">'1ER PERIODOADMINISTRACION'!G72</f>
        <v>0</v>
      </c>
      <c r="J166" s="9">
        <f ca="1">'1ER PERIODOADMINISTRACION'!H72</f>
        <v>0</v>
      </c>
      <c r="K166" s="9">
        <f ca="1">'1ER PERIODOADMINISTRACION'!I72</f>
        <v>0</v>
      </c>
      <c r="L166" s="9">
        <f ca="1">'1ER PERIODOADMINISTRACION'!J72</f>
        <v>24</v>
      </c>
      <c r="M166" s="9">
        <f ca="1">'1ER PERIODOADMINISTRACION'!K72</f>
        <v>95</v>
      </c>
      <c r="N166" s="9">
        <f ca="1">'1ER PERIODOADMINISTRACION'!L72</f>
        <v>136</v>
      </c>
      <c r="O166" s="9">
        <f ca="1">'1ER PERIODOADMINISTRACION'!M72</f>
        <v>0</v>
      </c>
      <c r="P166" s="9">
        <f ca="1">'1ER PERIODOADMINISTRACION'!N72</f>
        <v>0</v>
      </c>
      <c r="Q166" s="9">
        <f ca="1">'1ER PERIODOADMINISTRACION'!O72</f>
        <v>0</v>
      </c>
      <c r="R166" s="9">
        <f ca="1">'1ER PERIODOADMINISTRACION'!P72</f>
        <v>0</v>
      </c>
      <c r="S166" s="9">
        <f ca="1">'1ER PERIODOADMINISTRACION'!Q72</f>
        <v>0</v>
      </c>
      <c r="T166" s="9">
        <f ca="1">'1ER PERIODOADMINISTRACION'!R72</f>
        <v>0</v>
      </c>
      <c r="U166" s="9">
        <f ca="1">'1ER PERIODOADMINISTRACION'!S72</f>
        <v>255</v>
      </c>
    </row>
    <row r="167" spans="1:21" ht="39.75" customHeight="1">
      <c r="A167" s="30"/>
      <c r="B167" s="30"/>
      <c r="C167" s="4" t="s">
        <v>204</v>
      </c>
      <c r="D167" s="9">
        <f ca="1">'1ER PERIODOADMINISTRACION'!B73</f>
        <v>1</v>
      </c>
      <c r="E167" s="9">
        <f>'1ER PERIODOADMINISTRACION'!C73</f>
        <v>0</v>
      </c>
      <c r="F167" s="9" t="str">
        <f ca="1">'1ER PERIODOADMINISTRACION'!D73</f>
        <v>ASCENDENTE</v>
      </c>
      <c r="G167" s="9" t="str">
        <f ca="1">'1ER PERIODOADMINISTRACION'!E73</f>
        <v>BITACORA OPERATIVA</v>
      </c>
      <c r="H167" s="9">
        <f ca="1">'1ER PERIODOADMINISTRACION'!F73</f>
        <v>0</v>
      </c>
      <c r="I167" s="9">
        <f ca="1">'1ER PERIODOADMINISTRACION'!G73</f>
        <v>0</v>
      </c>
      <c r="J167" s="9">
        <f ca="1">'1ER PERIODOADMINISTRACION'!H73</f>
        <v>0</v>
      </c>
      <c r="K167" s="9">
        <f ca="1">'1ER PERIODOADMINISTRACION'!I73</f>
        <v>0</v>
      </c>
      <c r="L167" s="9">
        <f ca="1">'1ER PERIODOADMINISTRACION'!J73</f>
        <v>400</v>
      </c>
      <c r="M167" s="9">
        <f ca="1">'1ER PERIODOADMINISTRACION'!K73</f>
        <v>568</v>
      </c>
      <c r="N167" s="9">
        <f ca="1">'1ER PERIODOADMINISTRACION'!L73</f>
        <v>706</v>
      </c>
      <c r="O167" s="9">
        <f ca="1">'1ER PERIODOADMINISTRACION'!M73</f>
        <v>0</v>
      </c>
      <c r="P167" s="9">
        <f ca="1">'1ER PERIODOADMINISTRACION'!N73</f>
        <v>0</v>
      </c>
      <c r="Q167" s="9">
        <f ca="1">'1ER PERIODOADMINISTRACION'!O73</f>
        <v>0</v>
      </c>
      <c r="R167" s="9">
        <f ca="1">'1ER PERIODOADMINISTRACION'!P73</f>
        <v>0</v>
      </c>
      <c r="S167" s="9">
        <f ca="1">'1ER PERIODOADMINISTRACION'!Q73</f>
        <v>0</v>
      </c>
      <c r="T167" s="9">
        <f ca="1">'1ER PERIODOADMINISTRACION'!R73</f>
        <v>0</v>
      </c>
      <c r="U167" s="9">
        <f ca="1">'1ER PERIODOADMINISTRACION'!S73</f>
        <v>1674</v>
      </c>
    </row>
    <row r="168" spans="1:21" ht="39.75" customHeight="1">
      <c r="A168" s="30"/>
      <c r="B168" s="30"/>
      <c r="C168" s="4" t="s">
        <v>205</v>
      </c>
      <c r="D168" s="9">
        <f ca="1">'1ER PERIODOADMINISTRACION'!B74</f>
        <v>1</v>
      </c>
      <c r="E168" s="9">
        <f>'1ER PERIODOADMINISTRACION'!C74</f>
        <v>0</v>
      </c>
      <c r="F168" s="9" t="str">
        <f ca="1">'1ER PERIODOADMINISTRACION'!D74</f>
        <v>ASCENDENTE</v>
      </c>
      <c r="G168" s="9" t="str">
        <f ca="1">'1ER PERIODOADMINISTRACION'!E74</f>
        <v>BITACORA OPERATIVA</v>
      </c>
      <c r="H168" s="9">
        <f ca="1">'1ER PERIODOADMINISTRACION'!F74</f>
        <v>0</v>
      </c>
      <c r="I168" s="9">
        <f ca="1">'1ER PERIODOADMINISTRACION'!G74</f>
        <v>0</v>
      </c>
      <c r="J168" s="9">
        <f ca="1">'1ER PERIODOADMINISTRACION'!H74</f>
        <v>0</v>
      </c>
      <c r="K168" s="9">
        <f ca="1">'1ER PERIODOADMINISTRACION'!I74</f>
        <v>0</v>
      </c>
      <c r="L168" s="9">
        <f ca="1">'1ER PERIODOADMINISTRACION'!J74</f>
        <v>1500</v>
      </c>
      <c r="M168" s="9">
        <f ca="1">'1ER PERIODOADMINISTRACION'!K74</f>
        <v>1200</v>
      </c>
      <c r="N168" s="9">
        <f ca="1">'1ER PERIODOADMINISTRACION'!L74</f>
        <v>1300</v>
      </c>
      <c r="O168" s="9">
        <f ca="1">'1ER PERIODOADMINISTRACION'!M74</f>
        <v>0</v>
      </c>
      <c r="P168" s="9">
        <f ca="1">'1ER PERIODOADMINISTRACION'!N74</f>
        <v>0</v>
      </c>
      <c r="Q168" s="9">
        <f ca="1">'1ER PERIODOADMINISTRACION'!O74</f>
        <v>0</v>
      </c>
      <c r="R168" s="9">
        <f ca="1">'1ER PERIODOADMINISTRACION'!P74</f>
        <v>0</v>
      </c>
      <c r="S168" s="9">
        <f ca="1">'1ER PERIODOADMINISTRACION'!Q74</f>
        <v>0</v>
      </c>
      <c r="T168" s="9">
        <f ca="1">'1ER PERIODOADMINISTRACION'!R74</f>
        <v>0</v>
      </c>
      <c r="U168" s="9">
        <f ca="1">'1ER PERIODOADMINISTRACION'!S74</f>
        <v>4000</v>
      </c>
    </row>
    <row r="169" spans="1:21" ht="39.75" customHeight="1">
      <c r="A169" s="30"/>
      <c r="B169" s="30"/>
      <c r="C169" s="4" t="s">
        <v>206</v>
      </c>
      <c r="D169" s="9">
        <f ca="1">'1ER PERIODOADMINISTRACION'!B75</f>
        <v>1</v>
      </c>
      <c r="E169" s="9">
        <f>'1ER PERIODOADMINISTRACION'!C75</f>
        <v>0</v>
      </c>
      <c r="F169" s="9" t="str">
        <f ca="1">'1ER PERIODOADMINISTRACION'!D75</f>
        <v>ASCENDENTE</v>
      </c>
      <c r="G169" s="9" t="str">
        <f ca="1">'1ER PERIODOADMINISTRACION'!E75</f>
        <v>BITACORA OPERATIVA</v>
      </c>
      <c r="H169" s="9">
        <f ca="1">'1ER PERIODOADMINISTRACION'!F75</f>
        <v>0</v>
      </c>
      <c r="I169" s="9">
        <f ca="1">'1ER PERIODOADMINISTRACION'!G75</f>
        <v>0</v>
      </c>
      <c r="J169" s="9">
        <f ca="1">'1ER PERIODOADMINISTRACION'!H75</f>
        <v>0</v>
      </c>
      <c r="K169" s="9">
        <f ca="1">'1ER PERIODOADMINISTRACION'!I75</f>
        <v>0</v>
      </c>
      <c r="L169" s="9">
        <f ca="1">'1ER PERIODOADMINISTRACION'!J75</f>
        <v>500</v>
      </c>
      <c r="M169" s="9">
        <f ca="1">'1ER PERIODOADMINISTRACION'!K75</f>
        <v>300</v>
      </c>
      <c r="N169" s="9">
        <f ca="1">'1ER PERIODOADMINISTRACION'!L75</f>
        <v>400</v>
      </c>
      <c r="O169" s="9">
        <f ca="1">'1ER PERIODOADMINISTRACION'!M75</f>
        <v>0</v>
      </c>
      <c r="P169" s="9">
        <f ca="1">'1ER PERIODOADMINISTRACION'!N75</f>
        <v>0</v>
      </c>
      <c r="Q169" s="9">
        <f ca="1">'1ER PERIODOADMINISTRACION'!O75</f>
        <v>0</v>
      </c>
      <c r="R169" s="9">
        <f ca="1">'1ER PERIODOADMINISTRACION'!P75</f>
        <v>0</v>
      </c>
      <c r="S169" s="9">
        <f ca="1">'1ER PERIODOADMINISTRACION'!Q75</f>
        <v>0</v>
      </c>
      <c r="T169" s="9">
        <f ca="1">'1ER PERIODOADMINISTRACION'!R75</f>
        <v>0</v>
      </c>
      <c r="U169" s="9">
        <f ca="1">'1ER PERIODOADMINISTRACION'!S75</f>
        <v>1200</v>
      </c>
    </row>
    <row r="170" spans="1:21" ht="39.75" customHeight="1">
      <c r="A170" s="30"/>
      <c r="B170" s="30"/>
      <c r="C170" s="4" t="s">
        <v>207</v>
      </c>
      <c r="D170" s="9">
        <f ca="1">'1ER PERIODOADMINISTRACION'!B76</f>
        <v>1</v>
      </c>
      <c r="E170" s="9">
        <f>'1ER PERIODOADMINISTRACION'!C76</f>
        <v>0</v>
      </c>
      <c r="F170" s="9" t="str">
        <f ca="1">'1ER PERIODOADMINISTRACION'!D76</f>
        <v>ASCENDENTE</v>
      </c>
      <c r="G170" s="9" t="str">
        <f ca="1">'1ER PERIODOADMINISTRACION'!E76</f>
        <v>BITACORA OPERATIVA</v>
      </c>
      <c r="H170" s="9">
        <f ca="1">'1ER PERIODOADMINISTRACION'!F76</f>
        <v>0</v>
      </c>
      <c r="I170" s="9">
        <f ca="1">'1ER PERIODOADMINISTRACION'!G76</f>
        <v>0</v>
      </c>
      <c r="J170" s="9">
        <f ca="1">'1ER PERIODOADMINISTRACION'!H76</f>
        <v>0</v>
      </c>
      <c r="K170" s="9">
        <f ca="1">'1ER PERIODOADMINISTRACION'!I76</f>
        <v>0</v>
      </c>
      <c r="L170" s="9">
        <f ca="1">'1ER PERIODOADMINISTRACION'!J76</f>
        <v>80</v>
      </c>
      <c r="M170" s="9">
        <f ca="1">'1ER PERIODOADMINISTRACION'!K76</f>
        <v>90</v>
      </c>
      <c r="N170" s="9">
        <f ca="1">'1ER PERIODOADMINISTRACION'!L76</f>
        <v>80</v>
      </c>
      <c r="O170" s="9">
        <f ca="1">'1ER PERIODOADMINISTRACION'!M76</f>
        <v>0</v>
      </c>
      <c r="P170" s="9">
        <f ca="1">'1ER PERIODOADMINISTRACION'!N76</f>
        <v>0</v>
      </c>
      <c r="Q170" s="9">
        <f ca="1">'1ER PERIODOADMINISTRACION'!O76</f>
        <v>0</v>
      </c>
      <c r="R170" s="9">
        <f ca="1">'1ER PERIODOADMINISTRACION'!P76</f>
        <v>0</v>
      </c>
      <c r="S170" s="9">
        <f ca="1">'1ER PERIODOADMINISTRACION'!Q76</f>
        <v>0</v>
      </c>
      <c r="T170" s="9">
        <f ca="1">'1ER PERIODOADMINISTRACION'!R76</f>
        <v>0</v>
      </c>
      <c r="U170" s="9">
        <f ca="1">'1ER PERIODOADMINISTRACION'!S76</f>
        <v>250</v>
      </c>
    </row>
    <row r="171" spans="1:21" ht="39.75" customHeight="1">
      <c r="A171" s="30"/>
      <c r="B171" s="30"/>
      <c r="C171" s="4" t="s">
        <v>208</v>
      </c>
      <c r="D171" s="9">
        <f ca="1">'1ER PERIODOADMINISTRACION'!B77</f>
        <v>1</v>
      </c>
      <c r="E171" s="9">
        <f>'1ER PERIODOADMINISTRACION'!C77</f>
        <v>0</v>
      </c>
      <c r="F171" s="9" t="str">
        <f ca="1">'1ER PERIODOADMINISTRACION'!D77</f>
        <v>ASCENDENTE</v>
      </c>
      <c r="G171" s="9" t="str">
        <f ca="1">'1ER PERIODOADMINISTRACION'!E77</f>
        <v>BITACORA OPERATIVA</v>
      </c>
      <c r="H171" s="9">
        <f ca="1">'1ER PERIODOADMINISTRACION'!F77</f>
        <v>0</v>
      </c>
      <c r="I171" s="9">
        <f ca="1">'1ER PERIODOADMINISTRACION'!G77</f>
        <v>0</v>
      </c>
      <c r="J171" s="9">
        <f ca="1">'1ER PERIODOADMINISTRACION'!H77</f>
        <v>0</v>
      </c>
      <c r="K171" s="9">
        <f ca="1">'1ER PERIODOADMINISTRACION'!I77</f>
        <v>0</v>
      </c>
      <c r="L171" s="9">
        <f ca="1">'1ER PERIODOADMINISTRACION'!J77</f>
        <v>0</v>
      </c>
      <c r="M171" s="9">
        <f ca="1">'1ER PERIODOADMINISTRACION'!K77</f>
        <v>0</v>
      </c>
      <c r="N171" s="9">
        <f ca="1">'1ER PERIODOADMINISTRACION'!L77</f>
        <v>0</v>
      </c>
      <c r="O171" s="9">
        <f ca="1">'1ER PERIODOADMINISTRACION'!M77</f>
        <v>0</v>
      </c>
      <c r="P171" s="9">
        <f ca="1">'1ER PERIODOADMINISTRACION'!N77</f>
        <v>0</v>
      </c>
      <c r="Q171" s="9">
        <f ca="1">'1ER PERIODOADMINISTRACION'!O77</f>
        <v>0</v>
      </c>
      <c r="R171" s="9">
        <f ca="1">'1ER PERIODOADMINISTRACION'!P77</f>
        <v>0</v>
      </c>
      <c r="S171" s="9">
        <f ca="1">'1ER PERIODOADMINISTRACION'!Q77</f>
        <v>0</v>
      </c>
      <c r="T171" s="9">
        <f ca="1">'1ER PERIODOADMINISTRACION'!R77</f>
        <v>0</v>
      </c>
      <c r="U171" s="9">
        <f ca="1">'1ER PERIODOADMINISTRACION'!S77</f>
        <v>0</v>
      </c>
    </row>
    <row r="172" spans="1:21" ht="39.75" customHeight="1">
      <c r="A172" s="30"/>
      <c r="B172" s="30"/>
      <c r="C172" s="4" t="s">
        <v>209</v>
      </c>
      <c r="D172" s="9">
        <f ca="1">'1ER PERIODOADMINISTRACION'!B78</f>
        <v>1</v>
      </c>
      <c r="E172" s="9">
        <f>'1ER PERIODOADMINISTRACION'!C78</f>
        <v>0</v>
      </c>
      <c r="F172" s="9" t="str">
        <f ca="1">'1ER PERIODOADMINISTRACION'!D78</f>
        <v>ASCENDENTE</v>
      </c>
      <c r="G172" s="9" t="str">
        <f ca="1">'1ER PERIODOADMINISTRACION'!E78</f>
        <v>BITACORA OPERATIVA</v>
      </c>
      <c r="H172" s="9">
        <f ca="1">'1ER PERIODOADMINISTRACION'!F78</f>
        <v>0</v>
      </c>
      <c r="I172" s="9">
        <f ca="1">'1ER PERIODOADMINISTRACION'!G78</f>
        <v>0</v>
      </c>
      <c r="J172" s="9">
        <f ca="1">'1ER PERIODOADMINISTRACION'!H78</f>
        <v>0</v>
      </c>
      <c r="K172" s="9">
        <f ca="1">'1ER PERIODOADMINISTRACION'!I78</f>
        <v>0</v>
      </c>
      <c r="L172" s="9">
        <f ca="1">'1ER PERIODOADMINISTRACION'!J78</f>
        <v>60</v>
      </c>
      <c r="M172" s="9">
        <f ca="1">'1ER PERIODOADMINISTRACION'!K78</f>
        <v>80</v>
      </c>
      <c r="N172" s="9">
        <f ca="1">'1ER PERIODOADMINISTRACION'!L78</f>
        <v>70</v>
      </c>
      <c r="O172" s="9">
        <f ca="1">'1ER PERIODOADMINISTRACION'!M78</f>
        <v>0</v>
      </c>
      <c r="P172" s="9">
        <f ca="1">'1ER PERIODOADMINISTRACION'!N78</f>
        <v>0</v>
      </c>
      <c r="Q172" s="9">
        <f ca="1">'1ER PERIODOADMINISTRACION'!O78</f>
        <v>0</v>
      </c>
      <c r="R172" s="9">
        <f ca="1">'1ER PERIODOADMINISTRACION'!P78</f>
        <v>0</v>
      </c>
      <c r="S172" s="9">
        <f ca="1">'1ER PERIODOADMINISTRACION'!Q78</f>
        <v>0</v>
      </c>
      <c r="T172" s="9">
        <f ca="1">'1ER PERIODOADMINISTRACION'!R78</f>
        <v>0</v>
      </c>
      <c r="U172" s="9">
        <f ca="1">'1ER PERIODOADMINISTRACION'!S78</f>
        <v>210</v>
      </c>
    </row>
    <row r="173" spans="1:21" ht="39.75" customHeight="1">
      <c r="A173" s="30"/>
      <c r="B173" s="30"/>
      <c r="C173" s="4" t="s">
        <v>210</v>
      </c>
      <c r="D173" s="9">
        <f ca="1">'1ER PERIODOADMINISTRACION'!B79</f>
        <v>1</v>
      </c>
      <c r="E173" s="9">
        <f>'1ER PERIODOADMINISTRACION'!C79</f>
        <v>0</v>
      </c>
      <c r="F173" s="9" t="str">
        <f ca="1">'1ER PERIODOADMINISTRACION'!D79</f>
        <v>ASCENDENTE</v>
      </c>
      <c r="G173" s="9" t="str">
        <f ca="1">'1ER PERIODOADMINISTRACION'!E79</f>
        <v>BITACORA OPERATIVA</v>
      </c>
      <c r="H173" s="9">
        <f ca="1">'1ER PERIODOADMINISTRACION'!F79</f>
        <v>0</v>
      </c>
      <c r="I173" s="9">
        <f ca="1">'1ER PERIODOADMINISTRACION'!G79</f>
        <v>0</v>
      </c>
      <c r="J173" s="9">
        <f ca="1">'1ER PERIODOADMINISTRACION'!H79</f>
        <v>0</v>
      </c>
      <c r="K173" s="9">
        <f ca="1">'1ER PERIODOADMINISTRACION'!I79</f>
        <v>0</v>
      </c>
      <c r="L173" s="9">
        <f ca="1">'1ER PERIODOADMINISTRACION'!J79</f>
        <v>100</v>
      </c>
      <c r="M173" s="9">
        <f ca="1">'1ER PERIODOADMINISTRACION'!K79</f>
        <v>70</v>
      </c>
      <c r="N173" s="9">
        <f ca="1">'1ER PERIODOADMINISTRACION'!L79</f>
        <v>70</v>
      </c>
      <c r="O173" s="9">
        <f ca="1">'1ER PERIODOADMINISTRACION'!M79</f>
        <v>0</v>
      </c>
      <c r="P173" s="9">
        <f ca="1">'1ER PERIODOADMINISTRACION'!N79</f>
        <v>0</v>
      </c>
      <c r="Q173" s="9">
        <f ca="1">'1ER PERIODOADMINISTRACION'!O79</f>
        <v>0</v>
      </c>
      <c r="R173" s="9">
        <f ca="1">'1ER PERIODOADMINISTRACION'!P79</f>
        <v>0</v>
      </c>
      <c r="S173" s="9">
        <f ca="1">'1ER PERIODOADMINISTRACION'!Q79</f>
        <v>0</v>
      </c>
      <c r="T173" s="9">
        <f ca="1">'1ER PERIODOADMINISTRACION'!R79</f>
        <v>0</v>
      </c>
      <c r="U173" s="9">
        <f ca="1">'1ER PERIODOADMINISTRACION'!S79</f>
        <v>240</v>
      </c>
    </row>
    <row r="174" spans="1:21" ht="39.75" customHeight="1">
      <c r="A174" s="30"/>
      <c r="B174" s="30"/>
      <c r="C174" s="4" t="s">
        <v>211</v>
      </c>
      <c r="D174" s="9">
        <f ca="1">'1ER PERIODOADMINISTRACION'!B80</f>
        <v>1</v>
      </c>
      <c r="E174" s="9">
        <f>'1ER PERIODOADMINISTRACION'!C80</f>
        <v>0</v>
      </c>
      <c r="F174" s="9" t="str">
        <f ca="1">'1ER PERIODOADMINISTRACION'!D80</f>
        <v>ASCENDENTE</v>
      </c>
      <c r="G174" s="9" t="str">
        <f ca="1">'1ER PERIODOADMINISTRACION'!E80</f>
        <v>BITACORA OPERATIVA</v>
      </c>
      <c r="H174" s="9">
        <f ca="1">'1ER PERIODOADMINISTRACION'!F80</f>
        <v>0</v>
      </c>
      <c r="I174" s="9">
        <f ca="1">'1ER PERIODOADMINISTRACION'!G80</f>
        <v>0</v>
      </c>
      <c r="J174" s="9">
        <f ca="1">'1ER PERIODOADMINISTRACION'!H80</f>
        <v>0</v>
      </c>
      <c r="K174" s="9">
        <f ca="1">'1ER PERIODOADMINISTRACION'!I80</f>
        <v>0</v>
      </c>
      <c r="L174" s="9">
        <f ca="1">'1ER PERIODOADMINISTRACION'!J80</f>
        <v>1</v>
      </c>
      <c r="M174" s="9">
        <f ca="1">'1ER PERIODOADMINISTRACION'!K80</f>
        <v>1</v>
      </c>
      <c r="N174" s="9">
        <f ca="1">'1ER PERIODOADMINISTRACION'!L80</f>
        <v>1</v>
      </c>
      <c r="O174" s="9">
        <f ca="1">'1ER PERIODOADMINISTRACION'!M80</f>
        <v>0</v>
      </c>
      <c r="P174" s="9">
        <f ca="1">'1ER PERIODOADMINISTRACION'!N80</f>
        <v>0</v>
      </c>
      <c r="Q174" s="9">
        <f ca="1">'1ER PERIODOADMINISTRACION'!O80</f>
        <v>0</v>
      </c>
      <c r="R174" s="9">
        <f ca="1">'1ER PERIODOADMINISTRACION'!P80</f>
        <v>0</v>
      </c>
      <c r="S174" s="9">
        <f ca="1">'1ER PERIODOADMINISTRACION'!Q80</f>
        <v>0</v>
      </c>
      <c r="T174" s="9">
        <f ca="1">'1ER PERIODOADMINISTRACION'!R80</f>
        <v>0</v>
      </c>
      <c r="U174" s="9">
        <f ca="1">'1ER PERIODOADMINISTRACION'!S80</f>
        <v>3</v>
      </c>
    </row>
    <row r="175" spans="1:21" ht="39.75" customHeight="1">
      <c r="A175" s="30"/>
      <c r="B175" s="30"/>
      <c r="C175" s="4" t="s">
        <v>212</v>
      </c>
      <c r="D175" s="9">
        <f ca="1">'1ER PERIODOADMINISTRACION'!B81</f>
        <v>1</v>
      </c>
      <c r="E175" s="9">
        <f>'1ER PERIODOADMINISTRACION'!C81</f>
        <v>0</v>
      </c>
      <c r="F175" s="9" t="str">
        <f ca="1">'1ER PERIODOADMINISTRACION'!D81</f>
        <v>ASCENDENTE</v>
      </c>
      <c r="G175" s="9" t="str">
        <f ca="1">'1ER PERIODOADMINISTRACION'!E81</f>
        <v>BITACORA OPERATIVA</v>
      </c>
      <c r="H175" s="9">
        <f ca="1">'1ER PERIODOADMINISTRACION'!F81</f>
        <v>0</v>
      </c>
      <c r="I175" s="9">
        <f ca="1">'1ER PERIODOADMINISTRACION'!G81</f>
        <v>0</v>
      </c>
      <c r="J175" s="9">
        <f ca="1">'1ER PERIODOADMINISTRACION'!H81</f>
        <v>0</v>
      </c>
      <c r="K175" s="9">
        <f ca="1">'1ER PERIODOADMINISTRACION'!I81</f>
        <v>0</v>
      </c>
      <c r="L175" s="9">
        <f ca="1">'1ER PERIODOADMINISTRACION'!J81</f>
        <v>25</v>
      </c>
      <c r="M175" s="9">
        <f ca="1">'1ER PERIODOADMINISTRACION'!K81</f>
        <v>30</v>
      </c>
      <c r="N175" s="9">
        <f ca="1">'1ER PERIODOADMINISTRACION'!L81</f>
        <v>30</v>
      </c>
      <c r="O175" s="9">
        <f ca="1">'1ER PERIODOADMINISTRACION'!M81</f>
        <v>0</v>
      </c>
      <c r="P175" s="9">
        <f ca="1">'1ER PERIODOADMINISTRACION'!N81</f>
        <v>0</v>
      </c>
      <c r="Q175" s="9">
        <f ca="1">'1ER PERIODOADMINISTRACION'!O81</f>
        <v>0</v>
      </c>
      <c r="R175" s="9">
        <f ca="1">'1ER PERIODOADMINISTRACION'!P81</f>
        <v>0</v>
      </c>
      <c r="S175" s="9">
        <f ca="1">'1ER PERIODOADMINISTRACION'!Q81</f>
        <v>0</v>
      </c>
      <c r="T175" s="9">
        <f ca="1">'1ER PERIODOADMINISTRACION'!R81</f>
        <v>0</v>
      </c>
      <c r="U175" s="9">
        <f ca="1">'1ER PERIODOADMINISTRACION'!S81</f>
        <v>85</v>
      </c>
    </row>
    <row r="176" spans="1:21" ht="39.75" customHeight="1">
      <c r="A176" s="30"/>
      <c r="B176" s="30"/>
      <c r="C176" s="4" t="s">
        <v>213</v>
      </c>
      <c r="D176" s="9">
        <f ca="1">'1ER PERIODOADMINISTRACION'!B82</f>
        <v>1</v>
      </c>
      <c r="E176" s="9">
        <f>'1ER PERIODOADMINISTRACION'!C82</f>
        <v>0</v>
      </c>
      <c r="F176" s="9" t="str">
        <f ca="1">'1ER PERIODOADMINISTRACION'!D82</f>
        <v>ASCENDENTE</v>
      </c>
      <c r="G176" s="9" t="str">
        <f ca="1">'1ER PERIODOADMINISTRACION'!E82</f>
        <v>BITACORA OPERATIVA</v>
      </c>
      <c r="H176" s="9">
        <f ca="1">'1ER PERIODOADMINISTRACION'!F82</f>
        <v>0</v>
      </c>
      <c r="I176" s="9">
        <f ca="1">'1ER PERIODOADMINISTRACION'!G82</f>
        <v>0</v>
      </c>
      <c r="J176" s="9">
        <f ca="1">'1ER PERIODOADMINISTRACION'!H82</f>
        <v>0</v>
      </c>
      <c r="K176" s="9">
        <f ca="1">'1ER PERIODOADMINISTRACION'!I82</f>
        <v>0</v>
      </c>
      <c r="L176" s="9">
        <f ca="1">'1ER PERIODOADMINISTRACION'!J82</f>
        <v>1</v>
      </c>
      <c r="M176" s="9">
        <f ca="1">'1ER PERIODOADMINISTRACION'!K82</f>
        <v>1</v>
      </c>
      <c r="N176" s="9">
        <f ca="1">'1ER PERIODOADMINISTRACION'!L82</f>
        <v>1</v>
      </c>
      <c r="O176" s="9">
        <f ca="1">'1ER PERIODOADMINISTRACION'!M82</f>
        <v>0</v>
      </c>
      <c r="P176" s="9">
        <f ca="1">'1ER PERIODOADMINISTRACION'!N82</f>
        <v>0</v>
      </c>
      <c r="Q176" s="9">
        <f ca="1">'1ER PERIODOADMINISTRACION'!O82</f>
        <v>0</v>
      </c>
      <c r="R176" s="9">
        <f ca="1">'1ER PERIODOADMINISTRACION'!P82</f>
        <v>0</v>
      </c>
      <c r="S176" s="9">
        <f ca="1">'1ER PERIODOADMINISTRACION'!Q82</f>
        <v>0</v>
      </c>
      <c r="T176" s="9">
        <f ca="1">'1ER PERIODOADMINISTRACION'!R82</f>
        <v>0</v>
      </c>
      <c r="U176" s="9">
        <f ca="1">'1ER PERIODOADMINISTRACION'!S82</f>
        <v>3</v>
      </c>
    </row>
    <row r="177" spans="1:21" ht="39.75" customHeight="1">
      <c r="A177" s="30"/>
      <c r="B177" s="30"/>
      <c r="C177" s="4" t="s">
        <v>214</v>
      </c>
      <c r="D177" s="9">
        <f ca="1">'1ER PERIODOADMINISTRACION'!B83</f>
        <v>1</v>
      </c>
      <c r="E177" s="9">
        <f>'1ER PERIODOADMINISTRACION'!C83</f>
        <v>0</v>
      </c>
      <c r="F177" s="9" t="str">
        <f ca="1">'1ER PERIODOADMINISTRACION'!D83</f>
        <v>ASCENDENTE</v>
      </c>
      <c r="G177" s="9" t="str">
        <f ca="1">'1ER PERIODOADMINISTRACION'!E83</f>
        <v>BITACORA OPERATIVA</v>
      </c>
      <c r="H177" s="9">
        <f ca="1">'1ER PERIODOADMINISTRACION'!F83</f>
        <v>0</v>
      </c>
      <c r="I177" s="9">
        <f ca="1">'1ER PERIODOADMINISTRACION'!G83</f>
        <v>0</v>
      </c>
      <c r="J177" s="9">
        <f ca="1">'1ER PERIODOADMINISTRACION'!H83</f>
        <v>0</v>
      </c>
      <c r="K177" s="9">
        <f ca="1">'1ER PERIODOADMINISTRACION'!I83</f>
        <v>0</v>
      </c>
      <c r="L177" s="9">
        <f ca="1">'1ER PERIODOADMINISTRACION'!J83</f>
        <v>80</v>
      </c>
      <c r="M177" s="9">
        <f ca="1">'1ER PERIODOADMINISTRACION'!K83</f>
        <v>90</v>
      </c>
      <c r="N177" s="9">
        <f ca="1">'1ER PERIODOADMINISTRACION'!L83</f>
        <v>80</v>
      </c>
      <c r="O177" s="9">
        <f ca="1">'1ER PERIODOADMINISTRACION'!M83</f>
        <v>0</v>
      </c>
      <c r="P177" s="9">
        <f ca="1">'1ER PERIODOADMINISTRACION'!N83</f>
        <v>0</v>
      </c>
      <c r="Q177" s="9">
        <f ca="1">'1ER PERIODOADMINISTRACION'!O83</f>
        <v>0</v>
      </c>
      <c r="R177" s="9">
        <f ca="1">'1ER PERIODOADMINISTRACION'!P83</f>
        <v>0</v>
      </c>
      <c r="S177" s="9">
        <f ca="1">'1ER PERIODOADMINISTRACION'!Q83</f>
        <v>0</v>
      </c>
      <c r="T177" s="9">
        <f ca="1">'1ER PERIODOADMINISTRACION'!R83</f>
        <v>0</v>
      </c>
      <c r="U177" s="9">
        <f ca="1">'1ER PERIODOADMINISTRACION'!S83</f>
        <v>250</v>
      </c>
    </row>
    <row r="178" spans="1:21" ht="39.75" customHeight="1">
      <c r="A178" s="30"/>
      <c r="B178" s="30"/>
      <c r="C178" s="4" t="s">
        <v>215</v>
      </c>
      <c r="D178" s="9">
        <f ca="1">'1ER PERIODOADMINISTRACION'!B84</f>
        <v>1</v>
      </c>
      <c r="E178" s="9">
        <f>'1ER PERIODOADMINISTRACION'!C84</f>
        <v>0</v>
      </c>
      <c r="F178" s="9" t="str">
        <f ca="1">'1ER PERIODOADMINISTRACION'!D84</f>
        <v>ASCENDENTE</v>
      </c>
      <c r="G178" s="9" t="str">
        <f ca="1">'1ER PERIODOADMINISTRACION'!E84</f>
        <v>BITACORA OPERATIVA</v>
      </c>
      <c r="H178" s="9">
        <f ca="1">'1ER PERIODOADMINISTRACION'!F84</f>
        <v>0</v>
      </c>
      <c r="I178" s="9">
        <f ca="1">'1ER PERIODOADMINISTRACION'!G84</f>
        <v>0</v>
      </c>
      <c r="J178" s="9">
        <f ca="1">'1ER PERIODOADMINISTRACION'!H84</f>
        <v>0</v>
      </c>
      <c r="K178" s="9">
        <f ca="1">'1ER PERIODOADMINISTRACION'!I84</f>
        <v>0</v>
      </c>
      <c r="L178" s="9">
        <f ca="1">'1ER PERIODOADMINISTRACION'!J84</f>
        <v>25</v>
      </c>
      <c r="M178" s="9">
        <f ca="1">'1ER PERIODOADMINISTRACION'!K84</f>
        <v>30</v>
      </c>
      <c r="N178" s="9">
        <f ca="1">'1ER PERIODOADMINISTRACION'!L84</f>
        <v>20</v>
      </c>
      <c r="O178" s="9">
        <f ca="1">'1ER PERIODOADMINISTRACION'!M84</f>
        <v>0</v>
      </c>
      <c r="P178" s="9">
        <f ca="1">'1ER PERIODOADMINISTRACION'!N84</f>
        <v>0</v>
      </c>
      <c r="Q178" s="9">
        <f ca="1">'1ER PERIODOADMINISTRACION'!O84</f>
        <v>0</v>
      </c>
      <c r="R178" s="9">
        <f ca="1">'1ER PERIODOADMINISTRACION'!P84</f>
        <v>0</v>
      </c>
      <c r="S178" s="9">
        <f ca="1">'1ER PERIODOADMINISTRACION'!Q84</f>
        <v>0</v>
      </c>
      <c r="T178" s="9">
        <f ca="1">'1ER PERIODOADMINISTRACION'!R84</f>
        <v>0</v>
      </c>
      <c r="U178" s="9">
        <f ca="1">'1ER PERIODOADMINISTRACION'!S84</f>
        <v>75</v>
      </c>
    </row>
    <row r="179" spans="1:21" ht="39.75" customHeight="1">
      <c r="A179" s="30"/>
      <c r="B179" s="30"/>
      <c r="C179" s="4" t="s">
        <v>216</v>
      </c>
      <c r="D179" s="9">
        <f ca="1">'1ER PERIODOADMINISTRACION'!B85</f>
        <v>1</v>
      </c>
      <c r="E179" s="9">
        <f>'1ER PERIODOADMINISTRACION'!C85</f>
        <v>0</v>
      </c>
      <c r="F179" s="9" t="str">
        <f ca="1">'1ER PERIODOADMINISTRACION'!D85</f>
        <v>ASCENDENTE</v>
      </c>
      <c r="G179" s="9" t="str">
        <f ca="1">'1ER PERIODOADMINISTRACION'!E85</f>
        <v>BITACORA OPERATIVA</v>
      </c>
      <c r="H179" s="9">
        <f ca="1">'1ER PERIODOADMINISTRACION'!F85</f>
        <v>0</v>
      </c>
      <c r="I179" s="9">
        <f ca="1">'1ER PERIODOADMINISTRACION'!G85</f>
        <v>0</v>
      </c>
      <c r="J179" s="9">
        <f ca="1">'1ER PERIODOADMINISTRACION'!H85</f>
        <v>0</v>
      </c>
      <c r="K179" s="9">
        <f ca="1">'1ER PERIODOADMINISTRACION'!I85</f>
        <v>0</v>
      </c>
      <c r="L179" s="9">
        <f ca="1">'1ER PERIODOADMINISTRACION'!J85</f>
        <v>12</v>
      </c>
      <c r="M179" s="9">
        <f ca="1">'1ER PERIODOADMINISTRACION'!K85</f>
        <v>15</v>
      </c>
      <c r="N179" s="9">
        <f ca="1">'1ER PERIODOADMINISTRACION'!L85</f>
        <v>15</v>
      </c>
      <c r="O179" s="9">
        <f ca="1">'1ER PERIODOADMINISTRACION'!M85</f>
        <v>0</v>
      </c>
      <c r="P179" s="9">
        <f ca="1">'1ER PERIODOADMINISTRACION'!N85</f>
        <v>0</v>
      </c>
      <c r="Q179" s="9">
        <f ca="1">'1ER PERIODOADMINISTRACION'!O85</f>
        <v>0</v>
      </c>
      <c r="R179" s="9">
        <f ca="1">'1ER PERIODOADMINISTRACION'!P85</f>
        <v>0</v>
      </c>
      <c r="S179" s="9">
        <f ca="1">'1ER PERIODOADMINISTRACION'!Q85</f>
        <v>0</v>
      </c>
      <c r="T179" s="9">
        <f ca="1">'1ER PERIODOADMINISTRACION'!R85</f>
        <v>0</v>
      </c>
      <c r="U179" s="9">
        <f ca="1">'1ER PERIODOADMINISTRACION'!S85</f>
        <v>42</v>
      </c>
    </row>
    <row r="180" spans="1:21" ht="39.75" customHeight="1">
      <c r="A180" s="30"/>
      <c r="B180" s="30"/>
      <c r="C180" s="4" t="s">
        <v>217</v>
      </c>
      <c r="D180" s="9">
        <f ca="1">'1ER PERIODOADMINISTRACION'!B86</f>
        <v>1</v>
      </c>
      <c r="E180" s="9">
        <f>'1ER PERIODOADMINISTRACION'!C86</f>
        <v>0</v>
      </c>
      <c r="F180" s="9" t="str">
        <f ca="1">'1ER PERIODOADMINISTRACION'!D86</f>
        <v>ASCENDENTE</v>
      </c>
      <c r="G180" s="9" t="str">
        <f ca="1">'1ER PERIODOADMINISTRACION'!E86</f>
        <v>BITACORA OPERATIVA</v>
      </c>
      <c r="H180" s="9">
        <f ca="1">'1ER PERIODOADMINISTRACION'!F86</f>
        <v>0</v>
      </c>
      <c r="I180" s="9">
        <f ca="1">'1ER PERIODOADMINISTRACION'!G86</f>
        <v>0</v>
      </c>
      <c r="J180" s="9">
        <f ca="1">'1ER PERIODOADMINISTRACION'!H86</f>
        <v>0</v>
      </c>
      <c r="K180" s="9">
        <f ca="1">'1ER PERIODOADMINISTRACION'!I86</f>
        <v>0</v>
      </c>
      <c r="L180" s="9">
        <f ca="1">'1ER PERIODOADMINISTRACION'!J86</f>
        <v>6</v>
      </c>
      <c r="M180" s="9">
        <f ca="1">'1ER PERIODOADMINISTRACION'!K86</f>
        <v>7</v>
      </c>
      <c r="N180" s="9">
        <f ca="1">'1ER PERIODOADMINISTRACION'!L86</f>
        <v>7</v>
      </c>
      <c r="O180" s="9">
        <f ca="1">'1ER PERIODOADMINISTRACION'!M86</f>
        <v>0</v>
      </c>
      <c r="P180" s="9">
        <f ca="1">'1ER PERIODOADMINISTRACION'!N86</f>
        <v>0</v>
      </c>
      <c r="Q180" s="9">
        <f ca="1">'1ER PERIODOADMINISTRACION'!O86</f>
        <v>0</v>
      </c>
      <c r="R180" s="9">
        <f ca="1">'1ER PERIODOADMINISTRACION'!P86</f>
        <v>0</v>
      </c>
      <c r="S180" s="9">
        <f ca="1">'1ER PERIODOADMINISTRACION'!Q86</f>
        <v>0</v>
      </c>
      <c r="T180" s="9">
        <f ca="1">'1ER PERIODOADMINISTRACION'!R86</f>
        <v>0</v>
      </c>
      <c r="U180" s="9">
        <f ca="1">'1ER PERIODOADMINISTRACION'!S86</f>
        <v>20</v>
      </c>
    </row>
    <row r="181" spans="1:21" ht="39.75" customHeight="1">
      <c r="A181" s="30"/>
      <c r="B181" s="30"/>
      <c r="C181" s="4" t="s">
        <v>218</v>
      </c>
      <c r="D181" s="9">
        <f ca="1">'1ER PERIODOADMINISTRACION'!B87</f>
        <v>1</v>
      </c>
      <c r="E181" s="9">
        <f>'1ER PERIODOADMINISTRACION'!C87</f>
        <v>0</v>
      </c>
      <c r="F181" s="9" t="str">
        <f ca="1">'1ER PERIODOADMINISTRACION'!D87</f>
        <v>ASCENDENTE</v>
      </c>
      <c r="G181" s="9" t="str">
        <f ca="1">'1ER PERIODOADMINISTRACION'!E87</f>
        <v>BITACORA OPERATIVA</v>
      </c>
      <c r="H181" s="9">
        <f ca="1">'1ER PERIODOADMINISTRACION'!F87</f>
        <v>0</v>
      </c>
      <c r="I181" s="9">
        <f ca="1">'1ER PERIODOADMINISTRACION'!G87</f>
        <v>0</v>
      </c>
      <c r="J181" s="9">
        <f ca="1">'1ER PERIODOADMINISTRACION'!H87</f>
        <v>0</v>
      </c>
      <c r="K181" s="9">
        <f ca="1">'1ER PERIODOADMINISTRACION'!I87</f>
        <v>0</v>
      </c>
      <c r="L181" s="9">
        <f ca="1">'1ER PERIODOADMINISTRACION'!J87</f>
        <v>30</v>
      </c>
      <c r="M181" s="9">
        <f ca="1">'1ER PERIODOADMINISTRACION'!K87</f>
        <v>25</v>
      </c>
      <c r="N181" s="9">
        <f ca="1">'1ER PERIODOADMINISTRACION'!L87</f>
        <v>30</v>
      </c>
      <c r="O181" s="9">
        <f ca="1">'1ER PERIODOADMINISTRACION'!M87</f>
        <v>0</v>
      </c>
      <c r="P181" s="9">
        <f ca="1">'1ER PERIODOADMINISTRACION'!N87</f>
        <v>0</v>
      </c>
      <c r="Q181" s="9">
        <f ca="1">'1ER PERIODOADMINISTRACION'!O87</f>
        <v>0</v>
      </c>
      <c r="R181" s="9">
        <f ca="1">'1ER PERIODOADMINISTRACION'!P87</f>
        <v>0</v>
      </c>
      <c r="S181" s="9">
        <f ca="1">'1ER PERIODOADMINISTRACION'!Q87</f>
        <v>0</v>
      </c>
      <c r="T181" s="9">
        <f ca="1">'1ER PERIODOADMINISTRACION'!R87</f>
        <v>0</v>
      </c>
      <c r="U181" s="9">
        <f ca="1">'1ER PERIODOADMINISTRACION'!S87</f>
        <v>85</v>
      </c>
    </row>
    <row r="182" spans="1:21" ht="39.75" customHeight="1">
      <c r="A182" s="30"/>
      <c r="B182" s="30"/>
      <c r="C182" s="4" t="s">
        <v>219</v>
      </c>
      <c r="D182" s="9">
        <f ca="1">'1ER PERIODOADMINISTRACION'!B88</f>
        <v>1</v>
      </c>
      <c r="E182" s="9">
        <f>'1ER PERIODOADMINISTRACION'!C88</f>
        <v>0</v>
      </c>
      <c r="F182" s="9" t="str">
        <f ca="1">'1ER PERIODOADMINISTRACION'!D88</f>
        <v>ASCENDENTE</v>
      </c>
      <c r="G182" s="9" t="str">
        <f ca="1">'1ER PERIODOADMINISTRACION'!E88</f>
        <v>BITACORA OPERATIVA</v>
      </c>
      <c r="H182" s="9">
        <f ca="1">'1ER PERIODOADMINISTRACION'!F88</f>
        <v>0</v>
      </c>
      <c r="I182" s="9">
        <f ca="1">'1ER PERIODOADMINISTRACION'!G88</f>
        <v>0</v>
      </c>
      <c r="J182" s="9">
        <f ca="1">'1ER PERIODOADMINISTRACION'!H88</f>
        <v>0</v>
      </c>
      <c r="K182" s="9">
        <f ca="1">'1ER PERIODOADMINISTRACION'!I88</f>
        <v>0</v>
      </c>
      <c r="L182" s="9">
        <f ca="1">'1ER PERIODOADMINISTRACION'!J88</f>
        <v>5</v>
      </c>
      <c r="M182" s="9">
        <f ca="1">'1ER PERIODOADMINISTRACION'!K88</f>
        <v>7</v>
      </c>
      <c r="N182" s="9">
        <f ca="1">'1ER PERIODOADMINISTRACION'!L88</f>
        <v>6</v>
      </c>
      <c r="O182" s="9">
        <f ca="1">'1ER PERIODOADMINISTRACION'!M88</f>
        <v>0</v>
      </c>
      <c r="P182" s="9">
        <f ca="1">'1ER PERIODOADMINISTRACION'!N88</f>
        <v>0</v>
      </c>
      <c r="Q182" s="9">
        <f ca="1">'1ER PERIODOADMINISTRACION'!O88</f>
        <v>0</v>
      </c>
      <c r="R182" s="9">
        <f ca="1">'1ER PERIODOADMINISTRACION'!P88</f>
        <v>0</v>
      </c>
      <c r="S182" s="9">
        <f ca="1">'1ER PERIODOADMINISTRACION'!Q88</f>
        <v>0</v>
      </c>
      <c r="T182" s="9">
        <f ca="1">'1ER PERIODOADMINISTRACION'!R88</f>
        <v>0</v>
      </c>
      <c r="U182" s="9">
        <f ca="1">'1ER PERIODOADMINISTRACION'!S88</f>
        <v>18</v>
      </c>
    </row>
    <row r="183" spans="1:21" ht="39.75" customHeight="1">
      <c r="A183" s="30"/>
      <c r="B183" s="30"/>
      <c r="C183" s="4" t="s">
        <v>220</v>
      </c>
      <c r="D183" s="9">
        <f ca="1">'1ER PERIODOADMINISTRACION'!B89</f>
        <v>1</v>
      </c>
      <c r="E183" s="9">
        <f>'1ER PERIODOADMINISTRACION'!C89</f>
        <v>0</v>
      </c>
      <c r="F183" s="9" t="str">
        <f ca="1">'1ER PERIODOADMINISTRACION'!D89</f>
        <v>ASCENDENTE</v>
      </c>
      <c r="G183" s="9" t="str">
        <f ca="1">'1ER PERIODOADMINISTRACION'!E89</f>
        <v>BITACORA OPERATIVA</v>
      </c>
      <c r="H183" s="9">
        <f ca="1">'1ER PERIODOADMINISTRACION'!F89</f>
        <v>0</v>
      </c>
      <c r="I183" s="9">
        <f ca="1">'1ER PERIODOADMINISTRACION'!G89</f>
        <v>0</v>
      </c>
      <c r="J183" s="9">
        <f ca="1">'1ER PERIODOADMINISTRACION'!H89</f>
        <v>0</v>
      </c>
      <c r="K183" s="9">
        <f ca="1">'1ER PERIODOADMINISTRACION'!I89</f>
        <v>0</v>
      </c>
      <c r="L183" s="9">
        <f ca="1">'1ER PERIODOADMINISTRACION'!J89</f>
        <v>30</v>
      </c>
      <c r="M183" s="9">
        <f ca="1">'1ER PERIODOADMINISTRACION'!K89</f>
        <v>30</v>
      </c>
      <c r="N183" s="9">
        <f ca="1">'1ER PERIODOADMINISTRACION'!L89</f>
        <v>35</v>
      </c>
      <c r="O183" s="9">
        <f ca="1">'1ER PERIODOADMINISTRACION'!M89</f>
        <v>0</v>
      </c>
      <c r="P183" s="9">
        <f ca="1">'1ER PERIODOADMINISTRACION'!N89</f>
        <v>0</v>
      </c>
      <c r="Q183" s="9">
        <f ca="1">'1ER PERIODOADMINISTRACION'!O89</f>
        <v>0</v>
      </c>
      <c r="R183" s="9">
        <f ca="1">'1ER PERIODOADMINISTRACION'!P89</f>
        <v>0</v>
      </c>
      <c r="S183" s="9">
        <f ca="1">'1ER PERIODOADMINISTRACION'!Q89</f>
        <v>0</v>
      </c>
      <c r="T183" s="9">
        <f ca="1">'1ER PERIODOADMINISTRACION'!R89</f>
        <v>0</v>
      </c>
      <c r="U183" s="9">
        <f ca="1">'1ER PERIODOADMINISTRACION'!S89</f>
        <v>95</v>
      </c>
    </row>
    <row r="184" spans="1:21" ht="39.75" customHeight="1">
      <c r="A184" s="30"/>
      <c r="B184" s="30"/>
      <c r="C184" s="4" t="s">
        <v>221</v>
      </c>
      <c r="D184" s="9">
        <f ca="1">'1ER PERIODOADMINISTRACION'!B90</f>
        <v>1</v>
      </c>
      <c r="E184" s="9">
        <f>'1ER PERIODOADMINISTRACION'!C90</f>
        <v>0</v>
      </c>
      <c r="F184" s="9" t="str">
        <f ca="1">'1ER PERIODOADMINISTRACION'!D90</f>
        <v>ASCENDENTE</v>
      </c>
      <c r="G184" s="9" t="str">
        <f ca="1">'1ER PERIODOADMINISTRACION'!E90</f>
        <v>BITACORA OPERATIVA</v>
      </c>
      <c r="H184" s="9">
        <f ca="1">'1ER PERIODOADMINISTRACION'!F90</f>
        <v>0</v>
      </c>
      <c r="I184" s="9">
        <f ca="1">'1ER PERIODOADMINISTRACION'!G90</f>
        <v>0</v>
      </c>
      <c r="J184" s="9">
        <f ca="1">'1ER PERIODOADMINISTRACION'!H90</f>
        <v>0</v>
      </c>
      <c r="K184" s="9">
        <f ca="1">'1ER PERIODOADMINISTRACION'!I90</f>
        <v>0</v>
      </c>
      <c r="L184" s="9">
        <f ca="1">'1ER PERIODOADMINISTRACION'!J90</f>
        <v>7</v>
      </c>
      <c r="M184" s="9">
        <f ca="1">'1ER PERIODOADMINISTRACION'!K90</f>
        <v>10</v>
      </c>
      <c r="N184" s="9">
        <f ca="1">'1ER PERIODOADMINISTRACION'!L90</f>
        <v>14</v>
      </c>
      <c r="O184" s="9">
        <f ca="1">'1ER PERIODOADMINISTRACION'!M90</f>
        <v>0</v>
      </c>
      <c r="P184" s="9">
        <f ca="1">'1ER PERIODOADMINISTRACION'!N90</f>
        <v>0</v>
      </c>
      <c r="Q184" s="9">
        <f ca="1">'1ER PERIODOADMINISTRACION'!O90</f>
        <v>0</v>
      </c>
      <c r="R184" s="9">
        <f ca="1">'1ER PERIODOADMINISTRACION'!P90</f>
        <v>0</v>
      </c>
      <c r="S184" s="9">
        <f ca="1">'1ER PERIODOADMINISTRACION'!Q90</f>
        <v>0</v>
      </c>
      <c r="T184" s="9">
        <f ca="1">'1ER PERIODOADMINISTRACION'!R90</f>
        <v>0</v>
      </c>
      <c r="U184" s="9">
        <f ca="1">'1ER PERIODOADMINISTRACION'!S90</f>
        <v>31</v>
      </c>
    </row>
    <row r="185" spans="1:21" ht="39.75" customHeight="1">
      <c r="A185" s="30"/>
      <c r="B185" s="30"/>
      <c r="C185" s="4" t="s">
        <v>222</v>
      </c>
      <c r="D185" s="9">
        <f ca="1">'1ER PERIODOADMINISTRACION'!B91</f>
        <v>1</v>
      </c>
      <c r="E185" s="9">
        <f>'1ER PERIODOADMINISTRACION'!C91</f>
        <v>0</v>
      </c>
      <c r="F185" s="9" t="str">
        <f ca="1">'1ER PERIODOADMINISTRACION'!D91</f>
        <v>ASCENDENTE</v>
      </c>
      <c r="G185" s="9" t="str">
        <f ca="1">'1ER PERIODOADMINISTRACION'!E91</f>
        <v>BITACORA OPERATIVA</v>
      </c>
      <c r="H185" s="9">
        <f ca="1">'1ER PERIODOADMINISTRACION'!F91</f>
        <v>0</v>
      </c>
      <c r="I185" s="9">
        <f ca="1">'1ER PERIODOADMINISTRACION'!G91</f>
        <v>0</v>
      </c>
      <c r="J185" s="9">
        <f ca="1">'1ER PERIODOADMINISTRACION'!H91</f>
        <v>0</v>
      </c>
      <c r="K185" s="9">
        <f ca="1">'1ER PERIODOADMINISTRACION'!I91</f>
        <v>0</v>
      </c>
      <c r="L185" s="9">
        <f ca="1">'1ER PERIODOADMINISTRACION'!J91</f>
        <v>2</v>
      </c>
      <c r="M185" s="9">
        <f ca="1">'1ER PERIODOADMINISTRACION'!K91</f>
        <v>1</v>
      </c>
      <c r="N185" s="9">
        <f ca="1">'1ER PERIODOADMINISTRACION'!L91</f>
        <v>1</v>
      </c>
      <c r="O185" s="9">
        <f ca="1">'1ER PERIODOADMINISTRACION'!M91</f>
        <v>0</v>
      </c>
      <c r="P185" s="9">
        <f ca="1">'1ER PERIODOADMINISTRACION'!N91</f>
        <v>0</v>
      </c>
      <c r="Q185" s="9">
        <f ca="1">'1ER PERIODOADMINISTRACION'!O91</f>
        <v>0</v>
      </c>
      <c r="R185" s="9">
        <f ca="1">'1ER PERIODOADMINISTRACION'!P91</f>
        <v>0</v>
      </c>
      <c r="S185" s="9">
        <f ca="1">'1ER PERIODOADMINISTRACION'!Q91</f>
        <v>0</v>
      </c>
      <c r="T185" s="9">
        <f ca="1">'1ER PERIODOADMINISTRACION'!R91</f>
        <v>0</v>
      </c>
      <c r="U185" s="9">
        <f ca="1">'1ER PERIODOADMINISTRACION'!S91</f>
        <v>4</v>
      </c>
    </row>
    <row r="186" spans="1:21" ht="39.75" customHeight="1">
      <c r="A186" s="30"/>
      <c r="B186" s="30"/>
      <c r="C186" s="4" t="s">
        <v>223</v>
      </c>
      <c r="D186" s="9">
        <f ca="1">'1ER PERIODOADMINISTRACION'!B92</f>
        <v>1</v>
      </c>
      <c r="E186" s="9">
        <f>'1ER PERIODOADMINISTRACION'!C92</f>
        <v>0</v>
      </c>
      <c r="F186" s="9" t="str">
        <f ca="1">'1ER PERIODOADMINISTRACION'!D92</f>
        <v>ASCENDENTE</v>
      </c>
      <c r="G186" s="9" t="str">
        <f ca="1">'1ER PERIODOADMINISTRACION'!E92</f>
        <v>BITACORA OPERATIVA</v>
      </c>
      <c r="H186" s="9">
        <f ca="1">'1ER PERIODOADMINISTRACION'!F92</f>
        <v>0</v>
      </c>
      <c r="I186" s="9">
        <f ca="1">'1ER PERIODOADMINISTRACION'!G92</f>
        <v>0</v>
      </c>
      <c r="J186" s="9">
        <f ca="1">'1ER PERIODOADMINISTRACION'!H92</f>
        <v>0</v>
      </c>
      <c r="K186" s="9">
        <f ca="1">'1ER PERIODOADMINISTRACION'!I92</f>
        <v>0</v>
      </c>
      <c r="L186" s="9">
        <f ca="1">'1ER PERIODOADMINISTRACION'!J92</f>
        <v>7</v>
      </c>
      <c r="M186" s="9">
        <f ca="1">'1ER PERIODOADMINISTRACION'!K92</f>
        <v>10</v>
      </c>
      <c r="N186" s="9">
        <f ca="1">'1ER PERIODOADMINISTRACION'!L92</f>
        <v>9</v>
      </c>
      <c r="O186" s="9">
        <f ca="1">'1ER PERIODOADMINISTRACION'!M92</f>
        <v>0</v>
      </c>
      <c r="P186" s="9">
        <f ca="1">'1ER PERIODOADMINISTRACION'!N92</f>
        <v>0</v>
      </c>
      <c r="Q186" s="9">
        <f ca="1">'1ER PERIODOADMINISTRACION'!O92</f>
        <v>0</v>
      </c>
      <c r="R186" s="9">
        <f ca="1">'1ER PERIODOADMINISTRACION'!P92</f>
        <v>0</v>
      </c>
      <c r="S186" s="9">
        <f ca="1">'1ER PERIODOADMINISTRACION'!Q92</f>
        <v>0</v>
      </c>
      <c r="T186" s="9">
        <f ca="1">'1ER PERIODOADMINISTRACION'!R92</f>
        <v>0</v>
      </c>
      <c r="U186" s="9">
        <f ca="1">'1ER PERIODOADMINISTRACION'!S92</f>
        <v>26</v>
      </c>
    </row>
    <row r="187" spans="1:21" ht="39.75" customHeight="1">
      <c r="A187" s="30"/>
      <c r="B187" s="30"/>
      <c r="C187" s="4" t="s">
        <v>224</v>
      </c>
      <c r="D187" s="9">
        <f ca="1">'1ER PERIODOADMINISTRACION'!B93</f>
        <v>1</v>
      </c>
      <c r="E187" s="9">
        <f>'1ER PERIODOADMINISTRACION'!C93</f>
        <v>0</v>
      </c>
      <c r="F187" s="9" t="str">
        <f ca="1">'1ER PERIODOADMINISTRACION'!D93</f>
        <v>ASCENDENTE</v>
      </c>
      <c r="G187" s="9" t="str">
        <f ca="1">'1ER PERIODOADMINISTRACION'!E93</f>
        <v>BITACORA OPERATIVA</v>
      </c>
      <c r="H187" s="9">
        <f ca="1">'1ER PERIODOADMINISTRACION'!F93</f>
        <v>0</v>
      </c>
      <c r="I187" s="9">
        <f ca="1">'1ER PERIODOADMINISTRACION'!G93</f>
        <v>0</v>
      </c>
      <c r="J187" s="9">
        <f ca="1">'1ER PERIODOADMINISTRACION'!H93</f>
        <v>0</v>
      </c>
      <c r="K187" s="9">
        <f ca="1">'1ER PERIODOADMINISTRACION'!I93</f>
        <v>0</v>
      </c>
      <c r="L187" s="9">
        <f ca="1">'1ER PERIODOADMINISTRACION'!J93</f>
        <v>7</v>
      </c>
      <c r="M187" s="9">
        <f ca="1">'1ER PERIODOADMINISTRACION'!K93</f>
        <v>10</v>
      </c>
      <c r="N187" s="9">
        <f ca="1">'1ER PERIODOADMINISTRACION'!L93</f>
        <v>9</v>
      </c>
      <c r="O187" s="9">
        <f ca="1">'1ER PERIODOADMINISTRACION'!M93</f>
        <v>0</v>
      </c>
      <c r="P187" s="9">
        <f ca="1">'1ER PERIODOADMINISTRACION'!N93</f>
        <v>0</v>
      </c>
      <c r="Q187" s="9">
        <f ca="1">'1ER PERIODOADMINISTRACION'!O93</f>
        <v>0</v>
      </c>
      <c r="R187" s="9">
        <f ca="1">'1ER PERIODOADMINISTRACION'!P93</f>
        <v>0</v>
      </c>
      <c r="S187" s="9">
        <f ca="1">'1ER PERIODOADMINISTRACION'!Q93</f>
        <v>0</v>
      </c>
      <c r="T187" s="9">
        <f ca="1">'1ER PERIODOADMINISTRACION'!R93</f>
        <v>0</v>
      </c>
      <c r="U187" s="9">
        <f ca="1">'1ER PERIODOADMINISTRACION'!S93</f>
        <v>26</v>
      </c>
    </row>
    <row r="188" spans="1:21" ht="39.75" customHeight="1">
      <c r="A188" s="31"/>
      <c r="B188" s="31"/>
      <c r="C188" s="4" t="s">
        <v>225</v>
      </c>
      <c r="D188" s="9">
        <f ca="1">'1ER PERIODOADMINISTRACION'!B94</f>
        <v>1</v>
      </c>
      <c r="E188" s="9">
        <f>'1ER PERIODOADMINISTRACION'!C94</f>
        <v>0</v>
      </c>
      <c r="F188" s="9" t="str">
        <f ca="1">'1ER PERIODOADMINISTRACION'!D94</f>
        <v>ASCENDENTE</v>
      </c>
      <c r="G188" s="9" t="str">
        <f ca="1">'1ER PERIODOADMINISTRACION'!E94</f>
        <v>BITACORA OPERATIVA</v>
      </c>
      <c r="H188" s="9">
        <f ca="1">'1ER PERIODOADMINISTRACION'!F94</f>
        <v>0</v>
      </c>
      <c r="I188" s="9">
        <f ca="1">'1ER PERIODOADMINISTRACION'!G94</f>
        <v>0</v>
      </c>
      <c r="J188" s="9">
        <f ca="1">'1ER PERIODOADMINISTRACION'!H94</f>
        <v>0</v>
      </c>
      <c r="K188" s="9">
        <f ca="1">'1ER PERIODOADMINISTRACION'!I94</f>
        <v>0</v>
      </c>
      <c r="L188" s="9">
        <f ca="1">'1ER PERIODOADMINISTRACION'!J94</f>
        <v>30</v>
      </c>
      <c r="M188" s="9">
        <f ca="1">'1ER PERIODOADMINISTRACION'!K94</f>
        <v>30</v>
      </c>
      <c r="N188" s="9">
        <f ca="1">'1ER PERIODOADMINISTRACION'!L94</f>
        <v>25</v>
      </c>
      <c r="O188" s="9">
        <f ca="1">'1ER PERIODOADMINISTRACION'!M94</f>
        <v>0</v>
      </c>
      <c r="P188" s="9">
        <f ca="1">'1ER PERIODOADMINISTRACION'!N94</f>
        <v>0</v>
      </c>
      <c r="Q188" s="9">
        <f ca="1">'1ER PERIODOADMINISTRACION'!O94</f>
        <v>0</v>
      </c>
      <c r="R188" s="9">
        <f ca="1">'1ER PERIODOADMINISTRACION'!P94</f>
        <v>0</v>
      </c>
      <c r="S188" s="9">
        <f ca="1">'1ER PERIODOADMINISTRACION'!Q94</f>
        <v>0</v>
      </c>
      <c r="T188" s="9">
        <f ca="1">'1ER PERIODOADMINISTRACION'!R94</f>
        <v>0</v>
      </c>
      <c r="U188" s="9">
        <f ca="1">'1ER PERIODOADMINISTRACION'!S94</f>
        <v>85</v>
      </c>
    </row>
    <row r="189" spans="1:21" ht="39.75" customHeight="1">
      <c r="A189" s="32" t="s">
        <v>226</v>
      </c>
      <c r="B189" s="32" t="s">
        <v>226</v>
      </c>
      <c r="C189" s="5" t="s">
        <v>227</v>
      </c>
      <c r="D189" s="9">
        <f ca="1">'1ER PERIODO DESARROLLO ECONOMIC'!B2</f>
        <v>1</v>
      </c>
      <c r="E189" s="9">
        <f>'1ER PERIODO DESARROLLO ECONOMIC'!C2</f>
        <v>0</v>
      </c>
      <c r="F189" s="9" t="str">
        <f ca="1">'1ER PERIODO DESARROLLO ECONOMIC'!D2</f>
        <v>ASCENDENTE</v>
      </c>
      <c r="G189" s="9" t="str">
        <f ca="1">'1ER PERIODO DESARROLLO ECONOMIC'!E2</f>
        <v>BITACORA OPERATIVA</v>
      </c>
      <c r="H189" s="9">
        <f ca="1">'1ER PERIODO DESARROLLO ECONOMIC'!F2</f>
        <v>0</v>
      </c>
      <c r="I189" s="9">
        <f ca="1">'1ER PERIODO DESARROLLO ECONOMIC'!G2</f>
        <v>0</v>
      </c>
      <c r="J189" s="9">
        <f ca="1">'1ER PERIODO DESARROLLO ECONOMIC'!H2</f>
        <v>0</v>
      </c>
      <c r="K189" s="9">
        <f ca="1">'1ER PERIODO DESARROLLO ECONOMIC'!I2</f>
        <v>0</v>
      </c>
      <c r="L189" s="9">
        <f ca="1">'1ER PERIODO DESARROLLO ECONOMIC'!J2</f>
        <v>0</v>
      </c>
      <c r="M189" s="9">
        <f ca="1">'1ER PERIODO DESARROLLO ECONOMIC'!K2</f>
        <v>0</v>
      </c>
      <c r="N189" s="9">
        <f ca="1">'1ER PERIODO DESARROLLO ECONOMIC'!L2</f>
        <v>0</v>
      </c>
      <c r="O189" s="9">
        <f ca="1">'1ER PERIODO DESARROLLO ECONOMIC'!M2</f>
        <v>0</v>
      </c>
      <c r="P189" s="9">
        <f ca="1">'1ER PERIODO DESARROLLO ECONOMIC'!N2</f>
        <v>0</v>
      </c>
      <c r="Q189" s="9">
        <f ca="1">'1ER PERIODO DESARROLLO ECONOMIC'!O2</f>
        <v>0</v>
      </c>
      <c r="R189" s="9">
        <f ca="1">'1ER PERIODO DESARROLLO ECONOMIC'!P2</f>
        <v>0</v>
      </c>
      <c r="S189" s="9">
        <f ca="1">'1ER PERIODO DESARROLLO ECONOMIC'!Q2</f>
        <v>0</v>
      </c>
      <c r="T189" s="9">
        <f ca="1">'1ER PERIODO DESARROLLO ECONOMIC'!R2</f>
        <v>0</v>
      </c>
      <c r="U189" s="9">
        <f ca="1">'1ER PERIODO DESARROLLO ECONOMIC'!S2</f>
        <v>0</v>
      </c>
    </row>
    <row r="190" spans="1:21" ht="39.75" customHeight="1">
      <c r="A190" s="30"/>
      <c r="B190" s="30"/>
      <c r="C190" s="5" t="s">
        <v>228</v>
      </c>
      <c r="D190" s="9">
        <f ca="1">'1ER PERIODO DESARROLLO ECONOMIC'!B3</f>
        <v>1</v>
      </c>
      <c r="E190" s="9">
        <f>'1ER PERIODO DESARROLLO ECONOMIC'!C3</f>
        <v>0</v>
      </c>
      <c r="F190" s="9" t="str">
        <f ca="1">'1ER PERIODO DESARROLLO ECONOMIC'!D3</f>
        <v>ASCENDENTE</v>
      </c>
      <c r="G190" s="9" t="str">
        <f ca="1">'1ER PERIODO DESARROLLO ECONOMIC'!E3</f>
        <v>BITACORA OPERATIVA</v>
      </c>
      <c r="H190" s="9">
        <f ca="1">'1ER PERIODO DESARROLLO ECONOMIC'!F3</f>
        <v>0</v>
      </c>
      <c r="I190" s="9">
        <f ca="1">'1ER PERIODO DESARROLLO ECONOMIC'!G3</f>
        <v>0</v>
      </c>
      <c r="J190" s="9">
        <f ca="1">'1ER PERIODO DESARROLLO ECONOMIC'!H3</f>
        <v>0</v>
      </c>
      <c r="K190" s="9">
        <f ca="1">'1ER PERIODO DESARROLLO ECONOMIC'!I3</f>
        <v>0</v>
      </c>
      <c r="L190" s="9">
        <f ca="1">'1ER PERIODO DESARROLLO ECONOMIC'!J3</f>
        <v>0</v>
      </c>
      <c r="M190" s="9">
        <f ca="1">'1ER PERIODO DESARROLLO ECONOMIC'!K3</f>
        <v>0</v>
      </c>
      <c r="N190" s="9">
        <f ca="1">'1ER PERIODO DESARROLLO ECONOMIC'!L3</f>
        <v>0</v>
      </c>
      <c r="O190" s="9">
        <f ca="1">'1ER PERIODO DESARROLLO ECONOMIC'!M3</f>
        <v>0</v>
      </c>
      <c r="P190" s="9">
        <f ca="1">'1ER PERIODO DESARROLLO ECONOMIC'!N3</f>
        <v>0</v>
      </c>
      <c r="Q190" s="9">
        <f ca="1">'1ER PERIODO DESARROLLO ECONOMIC'!O3</f>
        <v>0</v>
      </c>
      <c r="R190" s="9">
        <f ca="1">'1ER PERIODO DESARROLLO ECONOMIC'!P3</f>
        <v>0</v>
      </c>
      <c r="S190" s="9">
        <f ca="1">'1ER PERIODO DESARROLLO ECONOMIC'!Q3</f>
        <v>0</v>
      </c>
      <c r="T190" s="9">
        <f ca="1">'1ER PERIODO DESARROLLO ECONOMIC'!R3</f>
        <v>0</v>
      </c>
      <c r="U190" s="9">
        <f ca="1">'1ER PERIODO DESARROLLO ECONOMIC'!S3</f>
        <v>0</v>
      </c>
    </row>
    <row r="191" spans="1:21" ht="39.75" customHeight="1">
      <c r="A191" s="30"/>
      <c r="B191" s="30"/>
      <c r="C191" s="5" t="s">
        <v>229</v>
      </c>
      <c r="D191" s="9">
        <f ca="1">'1ER PERIODO DESARROLLO ECONOMIC'!B4</f>
        <v>1</v>
      </c>
      <c r="E191" s="9">
        <f>'1ER PERIODO DESARROLLO ECONOMIC'!C4</f>
        <v>0</v>
      </c>
      <c r="F191" s="9" t="str">
        <f ca="1">'1ER PERIODO DESARROLLO ECONOMIC'!D4</f>
        <v>ASCENDENTE</v>
      </c>
      <c r="G191" s="9" t="str">
        <f ca="1">'1ER PERIODO DESARROLLO ECONOMIC'!E4</f>
        <v>BITACORA OPERATIVA</v>
      </c>
      <c r="H191" s="9">
        <f ca="1">'1ER PERIODO DESARROLLO ECONOMIC'!F4</f>
        <v>0</v>
      </c>
      <c r="I191" s="9">
        <f ca="1">'1ER PERIODO DESARROLLO ECONOMIC'!G4</f>
        <v>0</v>
      </c>
      <c r="J191" s="9">
        <f ca="1">'1ER PERIODO DESARROLLO ECONOMIC'!H4</f>
        <v>0</v>
      </c>
      <c r="K191" s="9">
        <f ca="1">'1ER PERIODO DESARROLLO ECONOMIC'!I4</f>
        <v>0</v>
      </c>
      <c r="L191" s="9">
        <f ca="1">'1ER PERIODO DESARROLLO ECONOMIC'!J4</f>
        <v>0</v>
      </c>
      <c r="M191" s="9">
        <f ca="1">'1ER PERIODO DESARROLLO ECONOMIC'!K4</f>
        <v>0</v>
      </c>
      <c r="N191" s="9">
        <f ca="1">'1ER PERIODO DESARROLLO ECONOMIC'!L4</f>
        <v>0</v>
      </c>
      <c r="O191" s="9">
        <f ca="1">'1ER PERIODO DESARROLLO ECONOMIC'!M4</f>
        <v>0</v>
      </c>
      <c r="P191" s="9">
        <f ca="1">'1ER PERIODO DESARROLLO ECONOMIC'!N4</f>
        <v>0</v>
      </c>
      <c r="Q191" s="9">
        <f ca="1">'1ER PERIODO DESARROLLO ECONOMIC'!O4</f>
        <v>0</v>
      </c>
      <c r="R191" s="9">
        <f ca="1">'1ER PERIODO DESARROLLO ECONOMIC'!P4</f>
        <v>0</v>
      </c>
      <c r="S191" s="9">
        <f ca="1">'1ER PERIODO DESARROLLO ECONOMIC'!Q4</f>
        <v>0</v>
      </c>
      <c r="T191" s="9">
        <f ca="1">'1ER PERIODO DESARROLLO ECONOMIC'!R4</f>
        <v>0</v>
      </c>
      <c r="U191" s="9">
        <f ca="1">'1ER PERIODO DESARROLLO ECONOMIC'!S4</f>
        <v>0</v>
      </c>
    </row>
    <row r="192" spans="1:21" ht="39.75" customHeight="1">
      <c r="A192" s="30"/>
      <c r="B192" s="30"/>
      <c r="C192" s="5" t="s">
        <v>230</v>
      </c>
      <c r="D192" s="9">
        <f ca="1">'1ER PERIODO DESARROLLO ECONOMIC'!B5</f>
        <v>1</v>
      </c>
      <c r="E192" s="9">
        <f>'1ER PERIODO DESARROLLO ECONOMIC'!C5</f>
        <v>0</v>
      </c>
      <c r="F192" s="9" t="str">
        <f ca="1">'1ER PERIODO DESARROLLO ECONOMIC'!D5</f>
        <v>ASCENDENTE</v>
      </c>
      <c r="G192" s="9" t="str">
        <f ca="1">'1ER PERIODO DESARROLLO ECONOMIC'!E5</f>
        <v>BITACORA OPERATIVA</v>
      </c>
      <c r="H192" s="9">
        <f ca="1">'1ER PERIODO DESARROLLO ECONOMIC'!F5</f>
        <v>100</v>
      </c>
      <c r="I192" s="9">
        <f ca="1">'1ER PERIODO DESARROLLO ECONOMIC'!G5</f>
        <v>0</v>
      </c>
      <c r="J192" s="9">
        <f ca="1">'1ER PERIODO DESARROLLO ECONOMIC'!H5</f>
        <v>0</v>
      </c>
      <c r="K192" s="9">
        <f ca="1">'1ER PERIODO DESARROLLO ECONOMIC'!I5</f>
        <v>0</v>
      </c>
      <c r="L192" s="9">
        <f ca="1">'1ER PERIODO DESARROLLO ECONOMIC'!J5</f>
        <v>0</v>
      </c>
      <c r="M192" s="9">
        <f ca="1">'1ER PERIODO DESARROLLO ECONOMIC'!K5</f>
        <v>1</v>
      </c>
      <c r="N192" s="9">
        <f ca="1">'1ER PERIODO DESARROLLO ECONOMIC'!L5</f>
        <v>0</v>
      </c>
      <c r="O192" s="9">
        <f ca="1">'1ER PERIODO DESARROLLO ECONOMIC'!M5</f>
        <v>0</v>
      </c>
      <c r="P192" s="9">
        <f ca="1">'1ER PERIODO DESARROLLO ECONOMIC'!N5</f>
        <v>0</v>
      </c>
      <c r="Q192" s="9">
        <f ca="1">'1ER PERIODO DESARROLLO ECONOMIC'!O5</f>
        <v>0</v>
      </c>
      <c r="R192" s="9">
        <f ca="1">'1ER PERIODO DESARROLLO ECONOMIC'!P5</f>
        <v>0</v>
      </c>
      <c r="S192" s="9">
        <f ca="1">'1ER PERIODO DESARROLLO ECONOMIC'!Q5</f>
        <v>0</v>
      </c>
      <c r="T192" s="9">
        <f ca="1">'1ER PERIODO DESARROLLO ECONOMIC'!R5</f>
        <v>0</v>
      </c>
      <c r="U192" s="9">
        <f ca="1">'1ER PERIODO DESARROLLO ECONOMIC'!S5</f>
        <v>1</v>
      </c>
    </row>
    <row r="193" spans="1:21" ht="39.75" customHeight="1">
      <c r="A193" s="30"/>
      <c r="B193" s="30"/>
      <c r="C193" s="5" t="s">
        <v>231</v>
      </c>
      <c r="D193" s="9">
        <f ca="1">'1ER PERIODO DESARROLLO ECONOMIC'!B6</f>
        <v>1</v>
      </c>
      <c r="E193" s="9">
        <f>'1ER PERIODO DESARROLLO ECONOMIC'!C6</f>
        <v>0</v>
      </c>
      <c r="F193" s="9" t="str">
        <f ca="1">'1ER PERIODO DESARROLLO ECONOMIC'!D6</f>
        <v>ASCENDENTE</v>
      </c>
      <c r="G193" s="9" t="str">
        <f ca="1">'1ER PERIODO DESARROLLO ECONOMIC'!E6</f>
        <v>BITACORA OPERATIVA</v>
      </c>
      <c r="H193" s="9">
        <f ca="1">'1ER PERIODO DESARROLLO ECONOMIC'!F6</f>
        <v>4000</v>
      </c>
      <c r="I193" s="9">
        <f ca="1">'1ER PERIODO DESARROLLO ECONOMIC'!G6</f>
        <v>0</v>
      </c>
      <c r="J193" s="9">
        <f ca="1">'1ER PERIODO DESARROLLO ECONOMIC'!H6</f>
        <v>0</v>
      </c>
      <c r="K193" s="9">
        <f ca="1">'1ER PERIODO DESARROLLO ECONOMIC'!I6</f>
        <v>0</v>
      </c>
      <c r="L193" s="9">
        <f ca="1">'1ER PERIODO DESARROLLO ECONOMIC'!J6</f>
        <v>0</v>
      </c>
      <c r="M193" s="9">
        <f ca="1">'1ER PERIODO DESARROLLO ECONOMIC'!K6</f>
        <v>40</v>
      </c>
      <c r="N193" s="9">
        <f ca="1">'1ER PERIODO DESARROLLO ECONOMIC'!L6</f>
        <v>0</v>
      </c>
      <c r="O193" s="9">
        <f ca="1">'1ER PERIODO DESARROLLO ECONOMIC'!M6</f>
        <v>0</v>
      </c>
      <c r="P193" s="9">
        <f ca="1">'1ER PERIODO DESARROLLO ECONOMIC'!N6</f>
        <v>0</v>
      </c>
      <c r="Q193" s="9">
        <f ca="1">'1ER PERIODO DESARROLLO ECONOMIC'!O6</f>
        <v>0</v>
      </c>
      <c r="R193" s="9">
        <f ca="1">'1ER PERIODO DESARROLLO ECONOMIC'!P6</f>
        <v>0</v>
      </c>
      <c r="S193" s="9">
        <f ca="1">'1ER PERIODO DESARROLLO ECONOMIC'!Q6</f>
        <v>0</v>
      </c>
      <c r="T193" s="9">
        <f ca="1">'1ER PERIODO DESARROLLO ECONOMIC'!R6</f>
        <v>0</v>
      </c>
      <c r="U193" s="9">
        <f ca="1">'1ER PERIODO DESARROLLO ECONOMIC'!S6</f>
        <v>40</v>
      </c>
    </row>
    <row r="194" spans="1:21" ht="39.75" customHeight="1">
      <c r="A194" s="30"/>
      <c r="B194" s="30"/>
      <c r="C194" s="5" t="s">
        <v>232</v>
      </c>
      <c r="D194" s="9">
        <f ca="1">'1ER PERIODO DESARROLLO ECONOMIC'!B7</f>
        <v>1</v>
      </c>
      <c r="E194" s="9">
        <f>'1ER PERIODO DESARROLLO ECONOMIC'!C7</f>
        <v>0</v>
      </c>
      <c r="F194" s="9" t="str">
        <f ca="1">'1ER PERIODO DESARROLLO ECONOMIC'!D7</f>
        <v>ASCENDENTE</v>
      </c>
      <c r="G194" s="9" t="str">
        <f ca="1">'1ER PERIODO DESARROLLO ECONOMIC'!E7</f>
        <v>BITACORA OPERATIVA</v>
      </c>
      <c r="H194" s="9">
        <f ca="1">'1ER PERIODO DESARROLLO ECONOMIC'!F7</f>
        <v>100</v>
      </c>
      <c r="I194" s="9">
        <f ca="1">'1ER PERIODO DESARROLLO ECONOMIC'!G7</f>
        <v>0</v>
      </c>
      <c r="J194" s="9">
        <f ca="1">'1ER PERIODO DESARROLLO ECONOMIC'!H7</f>
        <v>0</v>
      </c>
      <c r="K194" s="9">
        <f ca="1">'1ER PERIODO DESARROLLO ECONOMIC'!I7</f>
        <v>0</v>
      </c>
      <c r="L194" s="9">
        <f ca="1">'1ER PERIODO DESARROLLO ECONOMIC'!J7</f>
        <v>0</v>
      </c>
      <c r="M194" s="9">
        <f ca="1">'1ER PERIODO DESARROLLO ECONOMIC'!K7</f>
        <v>1</v>
      </c>
      <c r="N194" s="9">
        <f ca="1">'1ER PERIODO DESARROLLO ECONOMIC'!L7</f>
        <v>0</v>
      </c>
      <c r="O194" s="9">
        <f ca="1">'1ER PERIODO DESARROLLO ECONOMIC'!M7</f>
        <v>0</v>
      </c>
      <c r="P194" s="9">
        <f ca="1">'1ER PERIODO DESARROLLO ECONOMIC'!N7</f>
        <v>0</v>
      </c>
      <c r="Q194" s="9">
        <f ca="1">'1ER PERIODO DESARROLLO ECONOMIC'!O7</f>
        <v>0</v>
      </c>
      <c r="R194" s="9">
        <f ca="1">'1ER PERIODO DESARROLLO ECONOMIC'!P7</f>
        <v>0</v>
      </c>
      <c r="S194" s="9">
        <f ca="1">'1ER PERIODO DESARROLLO ECONOMIC'!Q7</f>
        <v>0</v>
      </c>
      <c r="T194" s="9">
        <f ca="1">'1ER PERIODO DESARROLLO ECONOMIC'!R7</f>
        <v>0</v>
      </c>
      <c r="U194" s="9">
        <f ca="1">'1ER PERIODO DESARROLLO ECONOMIC'!S7</f>
        <v>1</v>
      </c>
    </row>
    <row r="195" spans="1:21" ht="39.75" customHeight="1">
      <c r="A195" s="30"/>
      <c r="B195" s="30"/>
      <c r="C195" s="5" t="s">
        <v>233</v>
      </c>
      <c r="D195" s="9">
        <f ca="1">'1ER PERIODO DESARROLLO ECONOMIC'!B8</f>
        <v>1</v>
      </c>
      <c r="E195" s="9">
        <f>'1ER PERIODO DESARROLLO ECONOMIC'!C8</f>
        <v>0</v>
      </c>
      <c r="F195" s="9" t="str">
        <f ca="1">'1ER PERIODO DESARROLLO ECONOMIC'!D8</f>
        <v>ASCENDENTE</v>
      </c>
      <c r="G195" s="9" t="str">
        <f ca="1">'1ER PERIODO DESARROLLO ECONOMIC'!E8</f>
        <v>BITACORA OPERATIVA</v>
      </c>
      <c r="H195" s="9">
        <f ca="1">'1ER PERIODO DESARROLLO ECONOMIC'!F8</f>
        <v>9400</v>
      </c>
      <c r="I195" s="9">
        <f ca="1">'1ER PERIODO DESARROLLO ECONOMIC'!G8</f>
        <v>0</v>
      </c>
      <c r="J195" s="9">
        <f ca="1">'1ER PERIODO DESARROLLO ECONOMIC'!H8</f>
        <v>0</v>
      </c>
      <c r="K195" s="9">
        <f ca="1">'1ER PERIODO DESARROLLO ECONOMIC'!I8</f>
        <v>0</v>
      </c>
      <c r="L195" s="9">
        <f ca="1">'1ER PERIODO DESARROLLO ECONOMIC'!J8</f>
        <v>0</v>
      </c>
      <c r="M195" s="9">
        <f ca="1">'1ER PERIODO DESARROLLO ECONOMIC'!K8</f>
        <v>94</v>
      </c>
      <c r="N195" s="9">
        <f ca="1">'1ER PERIODO DESARROLLO ECONOMIC'!L8</f>
        <v>0</v>
      </c>
      <c r="O195" s="9">
        <f ca="1">'1ER PERIODO DESARROLLO ECONOMIC'!M8</f>
        <v>0</v>
      </c>
      <c r="P195" s="9">
        <f ca="1">'1ER PERIODO DESARROLLO ECONOMIC'!N8</f>
        <v>0</v>
      </c>
      <c r="Q195" s="9">
        <f ca="1">'1ER PERIODO DESARROLLO ECONOMIC'!O8</f>
        <v>0</v>
      </c>
      <c r="R195" s="9">
        <f ca="1">'1ER PERIODO DESARROLLO ECONOMIC'!P8</f>
        <v>0</v>
      </c>
      <c r="S195" s="9">
        <f ca="1">'1ER PERIODO DESARROLLO ECONOMIC'!Q8</f>
        <v>0</v>
      </c>
      <c r="T195" s="9">
        <f ca="1">'1ER PERIODO DESARROLLO ECONOMIC'!R8</f>
        <v>0</v>
      </c>
      <c r="U195" s="9">
        <f ca="1">'1ER PERIODO DESARROLLO ECONOMIC'!S8</f>
        <v>94</v>
      </c>
    </row>
    <row r="196" spans="1:21" ht="39.75" customHeight="1">
      <c r="A196" s="30"/>
      <c r="B196" s="31"/>
      <c r="C196" s="5" t="s">
        <v>234</v>
      </c>
      <c r="D196" s="9">
        <f ca="1">'1ER PERIODO DESARROLLO ECONOMIC'!B9</f>
        <v>1</v>
      </c>
      <c r="E196" s="9">
        <f>'1ER PERIODO DESARROLLO ECONOMIC'!C9</f>
        <v>0</v>
      </c>
      <c r="F196" s="9" t="str">
        <f ca="1">'1ER PERIODO DESARROLLO ECONOMIC'!D9</f>
        <v>ASCENDENTE</v>
      </c>
      <c r="G196" s="9" t="str">
        <f ca="1">'1ER PERIODO DESARROLLO ECONOMIC'!E9</f>
        <v>BITACORA OPERATIVA</v>
      </c>
      <c r="H196" s="9">
        <f ca="1">'1ER PERIODO DESARROLLO ECONOMIC'!F9</f>
        <v>9300</v>
      </c>
      <c r="I196" s="9">
        <f ca="1">'1ER PERIODO DESARROLLO ECONOMIC'!G9</f>
        <v>0</v>
      </c>
      <c r="J196" s="9">
        <f ca="1">'1ER PERIODO DESARROLLO ECONOMIC'!H9</f>
        <v>0</v>
      </c>
      <c r="K196" s="9">
        <f ca="1">'1ER PERIODO DESARROLLO ECONOMIC'!I9</f>
        <v>0</v>
      </c>
      <c r="L196" s="9">
        <f ca="1">'1ER PERIODO DESARROLLO ECONOMIC'!J9</f>
        <v>0</v>
      </c>
      <c r="M196" s="9">
        <f ca="1">'1ER PERIODO DESARROLLO ECONOMIC'!K9</f>
        <v>93</v>
      </c>
      <c r="N196" s="9">
        <f ca="1">'1ER PERIODO DESARROLLO ECONOMIC'!L9</f>
        <v>0</v>
      </c>
      <c r="O196" s="9">
        <f ca="1">'1ER PERIODO DESARROLLO ECONOMIC'!M9</f>
        <v>0</v>
      </c>
      <c r="P196" s="9">
        <f ca="1">'1ER PERIODO DESARROLLO ECONOMIC'!N9</f>
        <v>0</v>
      </c>
      <c r="Q196" s="9">
        <f ca="1">'1ER PERIODO DESARROLLO ECONOMIC'!O9</f>
        <v>0</v>
      </c>
      <c r="R196" s="9">
        <f ca="1">'1ER PERIODO DESARROLLO ECONOMIC'!P9</f>
        <v>0</v>
      </c>
      <c r="S196" s="9">
        <f ca="1">'1ER PERIODO DESARROLLO ECONOMIC'!Q9</f>
        <v>0</v>
      </c>
      <c r="T196" s="9">
        <f ca="1">'1ER PERIODO DESARROLLO ECONOMIC'!R9</f>
        <v>0</v>
      </c>
      <c r="U196" s="9">
        <f ca="1">'1ER PERIODO DESARROLLO ECONOMIC'!S9</f>
        <v>93</v>
      </c>
    </row>
    <row r="197" spans="1:21" ht="39.75" customHeight="1">
      <c r="A197" s="30"/>
      <c r="B197" s="12" t="s">
        <v>235</v>
      </c>
      <c r="C197" s="5" t="s">
        <v>236</v>
      </c>
      <c r="D197" s="9">
        <f ca="1">'1ER PERIODO DESARROLLO ECONOMIC'!B10</f>
        <v>1</v>
      </c>
      <c r="E197" s="9">
        <f>'1ER PERIODO DESARROLLO ECONOMIC'!C10</f>
        <v>0</v>
      </c>
      <c r="F197" s="9" t="str">
        <f ca="1">'1ER PERIODO DESARROLLO ECONOMIC'!D10</f>
        <v>ASCENDENTE</v>
      </c>
      <c r="G197" s="9" t="str">
        <f ca="1">'1ER PERIODO DESARROLLO ECONOMIC'!E10</f>
        <v>BITACORA OPERATIVA</v>
      </c>
      <c r="H197" s="9">
        <f ca="1">'1ER PERIODO DESARROLLO ECONOMIC'!F10</f>
        <v>0</v>
      </c>
      <c r="I197" s="9">
        <f ca="1">'1ER PERIODO DESARROLLO ECONOMIC'!G10</f>
        <v>0</v>
      </c>
      <c r="J197" s="9">
        <f ca="1">'1ER PERIODO DESARROLLO ECONOMIC'!H10</f>
        <v>0</v>
      </c>
      <c r="K197" s="9">
        <f ca="1">'1ER PERIODO DESARROLLO ECONOMIC'!I10</f>
        <v>0</v>
      </c>
      <c r="L197" s="9">
        <f ca="1">'1ER PERIODO DESARROLLO ECONOMIC'!J10</f>
        <v>0</v>
      </c>
      <c r="M197" s="9">
        <f ca="1">'1ER PERIODO DESARROLLO ECONOMIC'!K10</f>
        <v>0</v>
      </c>
      <c r="N197" s="9">
        <f ca="1">'1ER PERIODO DESARROLLO ECONOMIC'!L10</f>
        <v>0</v>
      </c>
      <c r="O197" s="9">
        <f ca="1">'1ER PERIODO DESARROLLO ECONOMIC'!M10</f>
        <v>0</v>
      </c>
      <c r="P197" s="9">
        <f ca="1">'1ER PERIODO DESARROLLO ECONOMIC'!N10</f>
        <v>0</v>
      </c>
      <c r="Q197" s="9">
        <f ca="1">'1ER PERIODO DESARROLLO ECONOMIC'!O10</f>
        <v>0</v>
      </c>
      <c r="R197" s="9">
        <f ca="1">'1ER PERIODO DESARROLLO ECONOMIC'!P10</f>
        <v>0</v>
      </c>
      <c r="S197" s="9">
        <f ca="1">'1ER PERIODO DESARROLLO ECONOMIC'!Q10</f>
        <v>0</v>
      </c>
      <c r="T197" s="9">
        <f ca="1">'1ER PERIODO DESARROLLO ECONOMIC'!R10</f>
        <v>0</v>
      </c>
      <c r="U197" s="9">
        <f ca="1">'1ER PERIODO DESARROLLO ECONOMIC'!S10</f>
        <v>0</v>
      </c>
    </row>
    <row r="198" spans="1:21" ht="39.75" customHeight="1">
      <c r="A198" s="30"/>
      <c r="B198" s="32" t="s">
        <v>237</v>
      </c>
      <c r="C198" s="5" t="s">
        <v>238</v>
      </c>
      <c r="D198" s="9">
        <f ca="1">'1ER PERIODO DESARROLLO ECONOMIC'!B11</f>
        <v>1</v>
      </c>
      <c r="E198" s="9">
        <f>'1ER PERIODO DESARROLLO ECONOMIC'!C11</f>
        <v>0</v>
      </c>
      <c r="F198" s="9" t="str">
        <f ca="1">'1ER PERIODO DESARROLLO ECONOMIC'!D11</f>
        <v>ASCENDENTE</v>
      </c>
      <c r="G198" s="9" t="str">
        <f ca="1">'1ER PERIODO DESARROLLO ECONOMIC'!E11</f>
        <v>BITACORA OPERATIVA</v>
      </c>
      <c r="H198" s="9">
        <f ca="1">'1ER PERIODO DESARROLLO ECONOMIC'!F11</f>
        <v>0</v>
      </c>
      <c r="I198" s="9">
        <f ca="1">'1ER PERIODO DESARROLLO ECONOMIC'!G11</f>
        <v>0</v>
      </c>
      <c r="J198" s="9">
        <f ca="1">'1ER PERIODO DESARROLLO ECONOMIC'!H11</f>
        <v>0</v>
      </c>
      <c r="K198" s="9">
        <f ca="1">'1ER PERIODO DESARROLLO ECONOMIC'!I11</f>
        <v>0</v>
      </c>
      <c r="L198" s="9">
        <f ca="1">'1ER PERIODO DESARROLLO ECONOMIC'!J11</f>
        <v>0</v>
      </c>
      <c r="M198" s="9">
        <f ca="1">'1ER PERIODO DESARROLLO ECONOMIC'!K11</f>
        <v>0</v>
      </c>
      <c r="N198" s="9">
        <f ca="1">'1ER PERIODO DESARROLLO ECONOMIC'!L11</f>
        <v>0</v>
      </c>
      <c r="O198" s="9">
        <f ca="1">'1ER PERIODO DESARROLLO ECONOMIC'!M11</f>
        <v>0</v>
      </c>
      <c r="P198" s="9">
        <f ca="1">'1ER PERIODO DESARROLLO ECONOMIC'!N11</f>
        <v>0</v>
      </c>
      <c r="Q198" s="9">
        <f ca="1">'1ER PERIODO DESARROLLO ECONOMIC'!O11</f>
        <v>0</v>
      </c>
      <c r="R198" s="9">
        <f ca="1">'1ER PERIODO DESARROLLO ECONOMIC'!P11</f>
        <v>0</v>
      </c>
      <c r="S198" s="9">
        <f ca="1">'1ER PERIODO DESARROLLO ECONOMIC'!Q11</f>
        <v>0</v>
      </c>
      <c r="T198" s="9">
        <f ca="1">'1ER PERIODO DESARROLLO ECONOMIC'!R11</f>
        <v>0</v>
      </c>
      <c r="U198" s="9">
        <f ca="1">'1ER PERIODO DESARROLLO ECONOMIC'!S11</f>
        <v>0</v>
      </c>
    </row>
    <row r="199" spans="1:21" ht="39.75" customHeight="1">
      <c r="A199" s="30"/>
      <c r="B199" s="30"/>
      <c r="C199" s="5" t="s">
        <v>38</v>
      </c>
      <c r="D199" s="9">
        <f ca="1">'1ER PERIODO DESARROLLO ECONOMIC'!B12</f>
        <v>1</v>
      </c>
      <c r="E199" s="9">
        <f>'1ER PERIODO DESARROLLO ECONOMIC'!C12</f>
        <v>0</v>
      </c>
      <c r="F199" s="9" t="str">
        <f ca="1">'1ER PERIODO DESARROLLO ECONOMIC'!D12</f>
        <v>ASCENDENTE</v>
      </c>
      <c r="G199" s="9" t="str">
        <f ca="1">'1ER PERIODO DESARROLLO ECONOMIC'!E12</f>
        <v>BITACORA OPERATIVA</v>
      </c>
      <c r="H199" s="9">
        <f ca="1">'1ER PERIODO DESARROLLO ECONOMIC'!F12</f>
        <v>0</v>
      </c>
      <c r="I199" s="9">
        <f ca="1">'1ER PERIODO DESARROLLO ECONOMIC'!G12</f>
        <v>0</v>
      </c>
      <c r="J199" s="9">
        <f ca="1">'1ER PERIODO DESARROLLO ECONOMIC'!H12</f>
        <v>0</v>
      </c>
      <c r="K199" s="9">
        <f ca="1">'1ER PERIODO DESARROLLO ECONOMIC'!I12</f>
        <v>0</v>
      </c>
      <c r="L199" s="9">
        <f ca="1">'1ER PERIODO DESARROLLO ECONOMIC'!J12</f>
        <v>0</v>
      </c>
      <c r="M199" s="9">
        <f ca="1">'1ER PERIODO DESARROLLO ECONOMIC'!K12</f>
        <v>0</v>
      </c>
      <c r="N199" s="9">
        <f ca="1">'1ER PERIODO DESARROLLO ECONOMIC'!L12</f>
        <v>0</v>
      </c>
      <c r="O199" s="9">
        <f ca="1">'1ER PERIODO DESARROLLO ECONOMIC'!M12</f>
        <v>0</v>
      </c>
      <c r="P199" s="9">
        <f ca="1">'1ER PERIODO DESARROLLO ECONOMIC'!N12</f>
        <v>0</v>
      </c>
      <c r="Q199" s="9">
        <f ca="1">'1ER PERIODO DESARROLLO ECONOMIC'!O12</f>
        <v>0</v>
      </c>
      <c r="R199" s="9">
        <f ca="1">'1ER PERIODO DESARROLLO ECONOMIC'!P12</f>
        <v>0</v>
      </c>
      <c r="S199" s="9">
        <f ca="1">'1ER PERIODO DESARROLLO ECONOMIC'!Q12</f>
        <v>0</v>
      </c>
      <c r="T199" s="9">
        <f ca="1">'1ER PERIODO DESARROLLO ECONOMIC'!R12</f>
        <v>0</v>
      </c>
      <c r="U199" s="9">
        <f ca="1">'1ER PERIODO DESARROLLO ECONOMIC'!S12</f>
        <v>0</v>
      </c>
    </row>
    <row r="200" spans="1:21" ht="39.75" customHeight="1">
      <c r="A200" s="30"/>
      <c r="B200" s="30"/>
      <c r="C200" s="5" t="s">
        <v>239</v>
      </c>
      <c r="D200" s="9">
        <f ca="1">'1ER PERIODO DESARROLLO ECONOMIC'!B13</f>
        <v>1</v>
      </c>
      <c r="E200" s="9">
        <f>'1ER PERIODO DESARROLLO ECONOMIC'!C13</f>
        <v>0</v>
      </c>
      <c r="F200" s="9" t="str">
        <f ca="1">'1ER PERIODO DESARROLLO ECONOMIC'!D13</f>
        <v>ASCENDENTE</v>
      </c>
      <c r="G200" s="9" t="str">
        <f ca="1">'1ER PERIODO DESARROLLO ECONOMIC'!E13</f>
        <v>BITACORA OPERATIVA</v>
      </c>
      <c r="H200" s="9">
        <f ca="1">'1ER PERIODO DESARROLLO ECONOMIC'!F13</f>
        <v>0</v>
      </c>
      <c r="I200" s="9">
        <f ca="1">'1ER PERIODO DESARROLLO ECONOMIC'!G13</f>
        <v>0</v>
      </c>
      <c r="J200" s="9">
        <f ca="1">'1ER PERIODO DESARROLLO ECONOMIC'!H13</f>
        <v>0</v>
      </c>
      <c r="K200" s="9">
        <f ca="1">'1ER PERIODO DESARROLLO ECONOMIC'!I13</f>
        <v>0</v>
      </c>
      <c r="L200" s="9">
        <f ca="1">'1ER PERIODO DESARROLLO ECONOMIC'!J13</f>
        <v>0</v>
      </c>
      <c r="M200" s="9">
        <f ca="1">'1ER PERIODO DESARROLLO ECONOMIC'!K13</f>
        <v>0</v>
      </c>
      <c r="N200" s="9">
        <f ca="1">'1ER PERIODO DESARROLLO ECONOMIC'!L13</f>
        <v>0</v>
      </c>
      <c r="O200" s="9">
        <f ca="1">'1ER PERIODO DESARROLLO ECONOMIC'!M13</f>
        <v>0</v>
      </c>
      <c r="P200" s="9">
        <f ca="1">'1ER PERIODO DESARROLLO ECONOMIC'!N13</f>
        <v>0</v>
      </c>
      <c r="Q200" s="9">
        <f ca="1">'1ER PERIODO DESARROLLO ECONOMIC'!O13</f>
        <v>0</v>
      </c>
      <c r="R200" s="9">
        <f ca="1">'1ER PERIODO DESARROLLO ECONOMIC'!P13</f>
        <v>0</v>
      </c>
      <c r="S200" s="9">
        <f ca="1">'1ER PERIODO DESARROLLO ECONOMIC'!Q13</f>
        <v>0</v>
      </c>
      <c r="T200" s="9">
        <f ca="1">'1ER PERIODO DESARROLLO ECONOMIC'!R13</f>
        <v>0</v>
      </c>
      <c r="U200" s="9">
        <f ca="1">'1ER PERIODO DESARROLLO ECONOMIC'!S13</f>
        <v>0</v>
      </c>
    </row>
    <row r="201" spans="1:21" ht="39.75" customHeight="1">
      <c r="A201" s="30"/>
      <c r="B201" s="30"/>
      <c r="C201" s="5" t="s">
        <v>38</v>
      </c>
      <c r="D201" s="9">
        <f ca="1">'1ER PERIODO DESARROLLO ECONOMIC'!B14</f>
        <v>1</v>
      </c>
      <c r="E201" s="9">
        <f>'1ER PERIODO DESARROLLO ECONOMIC'!C14</f>
        <v>0</v>
      </c>
      <c r="F201" s="9" t="str">
        <f ca="1">'1ER PERIODO DESARROLLO ECONOMIC'!D14</f>
        <v>ASCENDENTE</v>
      </c>
      <c r="G201" s="9" t="str">
        <f ca="1">'1ER PERIODO DESARROLLO ECONOMIC'!E14</f>
        <v>BITACORA OPERATIVA</v>
      </c>
      <c r="H201" s="9">
        <f ca="1">'1ER PERIODO DESARROLLO ECONOMIC'!F14</f>
        <v>0</v>
      </c>
      <c r="I201" s="9">
        <f ca="1">'1ER PERIODO DESARROLLO ECONOMIC'!G14</f>
        <v>0</v>
      </c>
      <c r="J201" s="9">
        <f ca="1">'1ER PERIODO DESARROLLO ECONOMIC'!H14</f>
        <v>0</v>
      </c>
      <c r="K201" s="9">
        <f ca="1">'1ER PERIODO DESARROLLO ECONOMIC'!I14</f>
        <v>0</v>
      </c>
      <c r="L201" s="9">
        <f ca="1">'1ER PERIODO DESARROLLO ECONOMIC'!J14</f>
        <v>0</v>
      </c>
      <c r="M201" s="9">
        <f ca="1">'1ER PERIODO DESARROLLO ECONOMIC'!K14</f>
        <v>0</v>
      </c>
      <c r="N201" s="9">
        <f ca="1">'1ER PERIODO DESARROLLO ECONOMIC'!L14</f>
        <v>0</v>
      </c>
      <c r="O201" s="9">
        <f ca="1">'1ER PERIODO DESARROLLO ECONOMIC'!M14</f>
        <v>0</v>
      </c>
      <c r="P201" s="9">
        <f ca="1">'1ER PERIODO DESARROLLO ECONOMIC'!N14</f>
        <v>0</v>
      </c>
      <c r="Q201" s="9">
        <f ca="1">'1ER PERIODO DESARROLLO ECONOMIC'!O14</f>
        <v>0</v>
      </c>
      <c r="R201" s="9">
        <f ca="1">'1ER PERIODO DESARROLLO ECONOMIC'!P14</f>
        <v>0</v>
      </c>
      <c r="S201" s="9">
        <f ca="1">'1ER PERIODO DESARROLLO ECONOMIC'!Q14</f>
        <v>0</v>
      </c>
      <c r="T201" s="9">
        <f ca="1">'1ER PERIODO DESARROLLO ECONOMIC'!R14</f>
        <v>0</v>
      </c>
      <c r="U201" s="9">
        <f ca="1">'1ER PERIODO DESARROLLO ECONOMIC'!S14</f>
        <v>0</v>
      </c>
    </row>
    <row r="202" spans="1:21" ht="39.75" customHeight="1">
      <c r="A202" s="30"/>
      <c r="B202" s="30"/>
      <c r="C202" s="5" t="s">
        <v>240</v>
      </c>
      <c r="D202" s="9">
        <f ca="1">'1ER PERIODO DESARROLLO ECONOMIC'!B15</f>
        <v>1</v>
      </c>
      <c r="E202" s="9">
        <f>'1ER PERIODO DESARROLLO ECONOMIC'!C15</f>
        <v>0</v>
      </c>
      <c r="F202" s="9" t="str">
        <f ca="1">'1ER PERIODO DESARROLLO ECONOMIC'!D15</f>
        <v>ASCENDENTE</v>
      </c>
      <c r="G202" s="9" t="str">
        <f ca="1">'1ER PERIODO DESARROLLO ECONOMIC'!E15</f>
        <v>BITACORA OPERATIVA</v>
      </c>
      <c r="H202" s="9">
        <f ca="1">'1ER PERIODO DESARROLLO ECONOMIC'!F15</f>
        <v>0</v>
      </c>
      <c r="I202" s="9">
        <f ca="1">'1ER PERIODO DESARROLLO ECONOMIC'!G15</f>
        <v>0</v>
      </c>
      <c r="J202" s="9">
        <f ca="1">'1ER PERIODO DESARROLLO ECONOMIC'!H15</f>
        <v>0</v>
      </c>
      <c r="K202" s="9">
        <f ca="1">'1ER PERIODO DESARROLLO ECONOMIC'!I15</f>
        <v>0</v>
      </c>
      <c r="L202" s="9">
        <f ca="1">'1ER PERIODO DESARROLLO ECONOMIC'!J15</f>
        <v>0</v>
      </c>
      <c r="M202" s="9">
        <f ca="1">'1ER PERIODO DESARROLLO ECONOMIC'!K15</f>
        <v>0</v>
      </c>
      <c r="N202" s="9">
        <f ca="1">'1ER PERIODO DESARROLLO ECONOMIC'!L15</f>
        <v>0</v>
      </c>
      <c r="O202" s="9">
        <f ca="1">'1ER PERIODO DESARROLLO ECONOMIC'!M15</f>
        <v>0</v>
      </c>
      <c r="P202" s="9">
        <f ca="1">'1ER PERIODO DESARROLLO ECONOMIC'!N15</f>
        <v>0</v>
      </c>
      <c r="Q202" s="9">
        <f ca="1">'1ER PERIODO DESARROLLO ECONOMIC'!O15</f>
        <v>0</v>
      </c>
      <c r="R202" s="9">
        <f ca="1">'1ER PERIODO DESARROLLO ECONOMIC'!P15</f>
        <v>0</v>
      </c>
      <c r="S202" s="9">
        <f ca="1">'1ER PERIODO DESARROLLO ECONOMIC'!Q15</f>
        <v>0</v>
      </c>
      <c r="T202" s="9">
        <f ca="1">'1ER PERIODO DESARROLLO ECONOMIC'!R15</f>
        <v>0</v>
      </c>
      <c r="U202" s="9">
        <f ca="1">'1ER PERIODO DESARROLLO ECONOMIC'!S15</f>
        <v>0</v>
      </c>
    </row>
    <row r="203" spans="1:21" ht="39.75" customHeight="1">
      <c r="A203" s="30"/>
      <c r="B203" s="30"/>
      <c r="C203" s="5" t="s">
        <v>38</v>
      </c>
      <c r="D203" s="9">
        <f ca="1">'1ER PERIODO DESARROLLO ECONOMIC'!B16</f>
        <v>1</v>
      </c>
      <c r="E203" s="9">
        <f>'1ER PERIODO DESARROLLO ECONOMIC'!C16</f>
        <v>0</v>
      </c>
      <c r="F203" s="9" t="str">
        <f ca="1">'1ER PERIODO DESARROLLO ECONOMIC'!D16</f>
        <v>ASCENDENTE</v>
      </c>
      <c r="G203" s="9" t="str">
        <f ca="1">'1ER PERIODO DESARROLLO ECONOMIC'!E16</f>
        <v>BITACORA OPERATIVA</v>
      </c>
      <c r="H203" s="9">
        <f ca="1">'1ER PERIODO DESARROLLO ECONOMIC'!F16</f>
        <v>0</v>
      </c>
      <c r="I203" s="9">
        <f ca="1">'1ER PERIODO DESARROLLO ECONOMIC'!G16</f>
        <v>0</v>
      </c>
      <c r="J203" s="9">
        <f ca="1">'1ER PERIODO DESARROLLO ECONOMIC'!H16</f>
        <v>0</v>
      </c>
      <c r="K203" s="9">
        <f ca="1">'1ER PERIODO DESARROLLO ECONOMIC'!I16</f>
        <v>0</v>
      </c>
      <c r="L203" s="9">
        <f ca="1">'1ER PERIODO DESARROLLO ECONOMIC'!J16</f>
        <v>0</v>
      </c>
      <c r="M203" s="9">
        <f ca="1">'1ER PERIODO DESARROLLO ECONOMIC'!K16</f>
        <v>0</v>
      </c>
      <c r="N203" s="9">
        <f ca="1">'1ER PERIODO DESARROLLO ECONOMIC'!L16</f>
        <v>0</v>
      </c>
      <c r="O203" s="9">
        <f ca="1">'1ER PERIODO DESARROLLO ECONOMIC'!M16</f>
        <v>0</v>
      </c>
      <c r="P203" s="9">
        <f ca="1">'1ER PERIODO DESARROLLO ECONOMIC'!N16</f>
        <v>0</v>
      </c>
      <c r="Q203" s="9">
        <f ca="1">'1ER PERIODO DESARROLLO ECONOMIC'!O16</f>
        <v>0</v>
      </c>
      <c r="R203" s="9">
        <f ca="1">'1ER PERIODO DESARROLLO ECONOMIC'!P16</f>
        <v>0</v>
      </c>
      <c r="S203" s="9">
        <f ca="1">'1ER PERIODO DESARROLLO ECONOMIC'!Q16</f>
        <v>0</v>
      </c>
      <c r="T203" s="9">
        <f ca="1">'1ER PERIODO DESARROLLO ECONOMIC'!R16</f>
        <v>0</v>
      </c>
      <c r="U203" s="9">
        <f ca="1">'1ER PERIODO DESARROLLO ECONOMIC'!S16</f>
        <v>0</v>
      </c>
    </row>
    <row r="204" spans="1:21" ht="39.75" customHeight="1">
      <c r="A204" s="30"/>
      <c r="B204" s="30"/>
      <c r="C204" s="5" t="s">
        <v>241</v>
      </c>
      <c r="D204" s="9">
        <f ca="1">'1ER PERIODO DESARROLLO ECONOMIC'!B17</f>
        <v>1</v>
      </c>
      <c r="E204" s="9">
        <f>'1ER PERIODO DESARROLLO ECONOMIC'!C17</f>
        <v>0</v>
      </c>
      <c r="F204" s="9" t="str">
        <f ca="1">'1ER PERIODO DESARROLLO ECONOMIC'!D17</f>
        <v>ASCENDENTE</v>
      </c>
      <c r="G204" s="9" t="str">
        <f ca="1">'1ER PERIODO DESARROLLO ECONOMIC'!E17</f>
        <v>BITACORA OPERATIVA</v>
      </c>
      <c r="H204" s="9">
        <f ca="1">'1ER PERIODO DESARROLLO ECONOMIC'!F17</f>
        <v>0</v>
      </c>
      <c r="I204" s="9">
        <f ca="1">'1ER PERIODO DESARROLLO ECONOMIC'!G17</f>
        <v>0</v>
      </c>
      <c r="J204" s="9">
        <f ca="1">'1ER PERIODO DESARROLLO ECONOMIC'!H17</f>
        <v>0</v>
      </c>
      <c r="K204" s="9">
        <f ca="1">'1ER PERIODO DESARROLLO ECONOMIC'!I17</f>
        <v>0</v>
      </c>
      <c r="L204" s="9">
        <f ca="1">'1ER PERIODO DESARROLLO ECONOMIC'!J17</f>
        <v>0</v>
      </c>
      <c r="M204" s="9">
        <f ca="1">'1ER PERIODO DESARROLLO ECONOMIC'!K17</f>
        <v>0</v>
      </c>
      <c r="N204" s="9">
        <f ca="1">'1ER PERIODO DESARROLLO ECONOMIC'!L17</f>
        <v>0</v>
      </c>
      <c r="O204" s="9">
        <f ca="1">'1ER PERIODO DESARROLLO ECONOMIC'!M17</f>
        <v>0</v>
      </c>
      <c r="P204" s="9">
        <f ca="1">'1ER PERIODO DESARROLLO ECONOMIC'!N17</f>
        <v>0</v>
      </c>
      <c r="Q204" s="9">
        <f ca="1">'1ER PERIODO DESARROLLO ECONOMIC'!O17</f>
        <v>0</v>
      </c>
      <c r="R204" s="9">
        <f ca="1">'1ER PERIODO DESARROLLO ECONOMIC'!P17</f>
        <v>0</v>
      </c>
      <c r="S204" s="9">
        <f ca="1">'1ER PERIODO DESARROLLO ECONOMIC'!Q17</f>
        <v>0</v>
      </c>
      <c r="T204" s="9">
        <f ca="1">'1ER PERIODO DESARROLLO ECONOMIC'!R17</f>
        <v>0</v>
      </c>
      <c r="U204" s="9">
        <f ca="1">'1ER PERIODO DESARROLLO ECONOMIC'!S17</f>
        <v>0</v>
      </c>
    </row>
    <row r="205" spans="1:21" ht="39.75" customHeight="1">
      <c r="A205" s="31"/>
      <c r="B205" s="31"/>
      <c r="C205" s="5" t="s">
        <v>242</v>
      </c>
      <c r="D205" s="9">
        <f ca="1">'1ER PERIODO DESARROLLO ECONOMIC'!B18</f>
        <v>1</v>
      </c>
      <c r="E205" s="9">
        <f>'1ER PERIODO DESARROLLO ECONOMIC'!C18</f>
        <v>0</v>
      </c>
      <c r="F205" s="9" t="str">
        <f ca="1">'1ER PERIODO DESARROLLO ECONOMIC'!D18</f>
        <v>ASCENDENTE</v>
      </c>
      <c r="G205" s="9" t="str">
        <f ca="1">'1ER PERIODO DESARROLLO ECONOMIC'!E18</f>
        <v>BITACORA OPERATIVA</v>
      </c>
      <c r="H205" s="9">
        <f ca="1">'1ER PERIODO DESARROLLO ECONOMIC'!F18</f>
        <v>0</v>
      </c>
      <c r="I205" s="9">
        <f ca="1">'1ER PERIODO DESARROLLO ECONOMIC'!G18</f>
        <v>0</v>
      </c>
      <c r="J205" s="9">
        <f ca="1">'1ER PERIODO DESARROLLO ECONOMIC'!H18</f>
        <v>0</v>
      </c>
      <c r="K205" s="9">
        <f ca="1">'1ER PERIODO DESARROLLO ECONOMIC'!I18</f>
        <v>0</v>
      </c>
      <c r="L205" s="9">
        <f ca="1">'1ER PERIODO DESARROLLO ECONOMIC'!J18</f>
        <v>0</v>
      </c>
      <c r="M205" s="9">
        <f ca="1">'1ER PERIODO DESARROLLO ECONOMIC'!K18</f>
        <v>0</v>
      </c>
      <c r="N205" s="9">
        <f ca="1">'1ER PERIODO DESARROLLO ECONOMIC'!L18</f>
        <v>0</v>
      </c>
      <c r="O205" s="9">
        <f ca="1">'1ER PERIODO DESARROLLO ECONOMIC'!M18</f>
        <v>0</v>
      </c>
      <c r="P205" s="9">
        <f ca="1">'1ER PERIODO DESARROLLO ECONOMIC'!N18</f>
        <v>0</v>
      </c>
      <c r="Q205" s="9">
        <f ca="1">'1ER PERIODO DESARROLLO ECONOMIC'!O18</f>
        <v>0</v>
      </c>
      <c r="R205" s="9">
        <f ca="1">'1ER PERIODO DESARROLLO ECONOMIC'!P18</f>
        <v>0</v>
      </c>
      <c r="S205" s="9">
        <f ca="1">'1ER PERIODO DESARROLLO ECONOMIC'!Q18</f>
        <v>0</v>
      </c>
      <c r="T205" s="9">
        <f ca="1">'1ER PERIODO DESARROLLO ECONOMIC'!R18</f>
        <v>0</v>
      </c>
      <c r="U205" s="9">
        <f ca="1">'1ER PERIODO DESARROLLO ECONOMIC'!S18</f>
        <v>0</v>
      </c>
    </row>
    <row r="206" spans="1:21" ht="39.75" customHeight="1">
      <c r="A206" s="32" t="s">
        <v>243</v>
      </c>
      <c r="B206" s="32" t="s">
        <v>244</v>
      </c>
      <c r="C206" s="5" t="s">
        <v>245</v>
      </c>
      <c r="D206" s="9">
        <f ca="1">'1ER PERIODO CONSTRUCCION DE LA '!B2</f>
        <v>88</v>
      </c>
      <c r="E206" s="9" t="str">
        <f ca="1">'1ER PERIODO CONSTRUCCION DE LA '!C2</f>
        <v>COMITE</v>
      </c>
      <c r="F206" s="9" t="str">
        <f ca="1">'1ER PERIODO CONSTRUCCION DE LA '!D2</f>
        <v>ASCENDENTE</v>
      </c>
      <c r="G206" s="9" t="str">
        <f ca="1">'1ER PERIODO CONSTRUCCION DE LA '!E2</f>
        <v>SESIONES PUBLICAS</v>
      </c>
      <c r="H206" s="9">
        <f ca="1">'1ER PERIODO CONSTRUCCION DE LA '!F2</f>
        <v>28.409090909090899</v>
      </c>
      <c r="I206" s="9">
        <f ca="1">'1ER PERIODO CONSTRUCCION DE LA '!G2</f>
        <v>0</v>
      </c>
      <c r="J206" s="9">
        <f ca="1">'1ER PERIODO CONSTRUCCION DE LA '!H2</f>
        <v>0</v>
      </c>
      <c r="K206" s="9">
        <f ca="1">'1ER PERIODO CONSTRUCCION DE LA '!I2</f>
        <v>0</v>
      </c>
      <c r="L206" s="9">
        <f ca="1">'1ER PERIODO CONSTRUCCION DE LA '!J2</f>
        <v>7</v>
      </c>
      <c r="M206" s="9">
        <f ca="1">'1ER PERIODO CONSTRUCCION DE LA '!K2</f>
        <v>10</v>
      </c>
      <c r="N206" s="9">
        <f ca="1">'1ER PERIODO CONSTRUCCION DE LA '!L2</f>
        <v>8</v>
      </c>
      <c r="O206" s="9">
        <f ca="1">'1ER PERIODO CONSTRUCCION DE LA '!M2</f>
        <v>0</v>
      </c>
      <c r="P206" s="9">
        <f ca="1">'1ER PERIODO CONSTRUCCION DE LA '!N2</f>
        <v>0</v>
      </c>
      <c r="Q206" s="9">
        <f ca="1">'1ER PERIODO CONSTRUCCION DE LA '!O2</f>
        <v>0</v>
      </c>
      <c r="R206" s="9">
        <f ca="1">'1ER PERIODO CONSTRUCCION DE LA '!P2</f>
        <v>0</v>
      </c>
      <c r="S206" s="9">
        <f ca="1">'1ER PERIODO CONSTRUCCION DE LA '!Q2</f>
        <v>0</v>
      </c>
      <c r="T206" s="9">
        <f ca="1">'1ER PERIODO CONSTRUCCION DE LA '!R2</f>
        <v>0</v>
      </c>
      <c r="U206" s="9">
        <f ca="1">'1ER PERIODO CONSTRUCCION DE LA '!S2</f>
        <v>25</v>
      </c>
    </row>
    <row r="207" spans="1:21" ht="39.75" customHeight="1">
      <c r="A207" s="30"/>
      <c r="B207" s="31"/>
      <c r="C207" s="5" t="s">
        <v>246</v>
      </c>
      <c r="D207" s="9">
        <f ca="1">'1ER PERIODO CONSTRUCCION DE LA '!B3</f>
        <v>72</v>
      </c>
      <c r="E207" s="9" t="str">
        <f ca="1">'1ER PERIODO CONSTRUCCION DE LA '!C3</f>
        <v>COMITE</v>
      </c>
      <c r="F207" s="9" t="str">
        <f ca="1">'1ER PERIODO CONSTRUCCION DE LA '!D3</f>
        <v>ASCENDENTE</v>
      </c>
      <c r="G207" s="9" t="str">
        <f ca="1">'1ER PERIODO CONSTRUCCION DE LA '!E3</f>
        <v>BITACORA DE ATENCION</v>
      </c>
      <c r="H207" s="9">
        <f ca="1">'1ER PERIODO CONSTRUCCION DE LA '!F3</f>
        <v>9.7222222222222197</v>
      </c>
      <c r="I207" s="9">
        <f ca="1">'1ER PERIODO CONSTRUCCION DE LA '!G3</f>
        <v>0</v>
      </c>
      <c r="J207" s="9">
        <f ca="1">'1ER PERIODO CONSTRUCCION DE LA '!H3</f>
        <v>0</v>
      </c>
      <c r="K207" s="9">
        <f ca="1">'1ER PERIODO CONSTRUCCION DE LA '!I3</f>
        <v>0</v>
      </c>
      <c r="L207" s="9">
        <f ca="1">'1ER PERIODO CONSTRUCCION DE LA '!J3</f>
        <v>0</v>
      </c>
      <c r="M207" s="9">
        <f ca="1">'1ER PERIODO CONSTRUCCION DE LA '!K3</f>
        <v>7</v>
      </c>
      <c r="N207" s="9">
        <f ca="1">'1ER PERIODO CONSTRUCCION DE LA '!L3</f>
        <v>0</v>
      </c>
      <c r="O207" s="9">
        <f ca="1">'1ER PERIODO CONSTRUCCION DE LA '!M3</f>
        <v>0</v>
      </c>
      <c r="P207" s="9">
        <f ca="1">'1ER PERIODO CONSTRUCCION DE LA '!N3</f>
        <v>0</v>
      </c>
      <c r="Q207" s="9">
        <f ca="1">'1ER PERIODO CONSTRUCCION DE LA '!O3</f>
        <v>0</v>
      </c>
      <c r="R207" s="9">
        <f ca="1">'1ER PERIODO CONSTRUCCION DE LA '!P3</f>
        <v>0</v>
      </c>
      <c r="S207" s="9">
        <f ca="1">'1ER PERIODO CONSTRUCCION DE LA '!Q3</f>
        <v>0</v>
      </c>
      <c r="T207" s="9">
        <f ca="1">'1ER PERIODO CONSTRUCCION DE LA '!R3</f>
        <v>0</v>
      </c>
      <c r="U207" s="9">
        <f ca="1">'1ER PERIODO CONSTRUCCION DE LA '!S3</f>
        <v>7</v>
      </c>
    </row>
    <row r="208" spans="1:21" ht="39.75" customHeight="1">
      <c r="A208" s="30"/>
      <c r="B208" s="33" t="s">
        <v>247</v>
      </c>
      <c r="C208" s="5" t="s">
        <v>248</v>
      </c>
      <c r="D208" s="9">
        <f ca="1">'1ER PERIODO CONSTRUCCION DE LA '!B4</f>
        <v>36</v>
      </c>
      <c r="E208" s="9" t="str">
        <f ca="1">'1ER PERIODO CONSTRUCCION DE LA '!C4</f>
        <v>EVENTO</v>
      </c>
      <c r="F208" s="9" t="str">
        <f ca="1">'1ER PERIODO CONSTRUCCION DE LA '!D4</f>
        <v>ASCENDENTE</v>
      </c>
      <c r="G208" s="9" t="str">
        <f ca="1">'1ER PERIODO CONSTRUCCION DE LA '!E4</f>
        <v>BITACORA DE ATENCION</v>
      </c>
      <c r="H208" s="9">
        <f ca="1">'1ER PERIODO CONSTRUCCION DE LA '!F4</f>
        <v>13.8888888888888</v>
      </c>
      <c r="I208" s="9">
        <f ca="1">'1ER PERIODO CONSTRUCCION DE LA '!G4</f>
        <v>0</v>
      </c>
      <c r="J208" s="9">
        <f ca="1">'1ER PERIODO CONSTRUCCION DE LA '!H4</f>
        <v>0</v>
      </c>
      <c r="K208" s="9">
        <f ca="1">'1ER PERIODO CONSTRUCCION DE LA '!I4</f>
        <v>0</v>
      </c>
      <c r="L208" s="9">
        <f ca="1">'1ER PERIODO CONSTRUCCION DE LA '!J4</f>
        <v>2</v>
      </c>
      <c r="M208" s="9">
        <f ca="1">'1ER PERIODO CONSTRUCCION DE LA '!K4</f>
        <v>3</v>
      </c>
      <c r="N208" s="9">
        <f ca="1">'1ER PERIODO CONSTRUCCION DE LA '!L4</f>
        <v>0</v>
      </c>
      <c r="O208" s="9">
        <f ca="1">'1ER PERIODO CONSTRUCCION DE LA '!M4</f>
        <v>0</v>
      </c>
      <c r="P208" s="9">
        <f ca="1">'1ER PERIODO CONSTRUCCION DE LA '!N4</f>
        <v>0</v>
      </c>
      <c r="Q208" s="9">
        <f ca="1">'1ER PERIODO CONSTRUCCION DE LA '!O4</f>
        <v>0</v>
      </c>
      <c r="R208" s="9">
        <f ca="1">'1ER PERIODO CONSTRUCCION DE LA '!P4</f>
        <v>0</v>
      </c>
      <c r="S208" s="9">
        <f ca="1">'1ER PERIODO CONSTRUCCION DE LA '!Q4</f>
        <v>0</v>
      </c>
      <c r="T208" s="9">
        <f ca="1">'1ER PERIODO CONSTRUCCION DE LA '!R4</f>
        <v>0</v>
      </c>
      <c r="U208" s="9">
        <f ca="1">'1ER PERIODO CONSTRUCCION DE LA '!S4</f>
        <v>5</v>
      </c>
    </row>
    <row r="209" spans="1:21" ht="39.75" customHeight="1">
      <c r="A209" s="30"/>
      <c r="B209" s="30"/>
      <c r="C209" s="5" t="s">
        <v>249</v>
      </c>
      <c r="D209" s="9">
        <f ca="1">'1ER PERIODO CONSTRUCCION DE LA '!B5</f>
        <v>1</v>
      </c>
      <c r="E209" s="9" t="str">
        <f ca="1">'1ER PERIODO CONSTRUCCION DE LA '!C5</f>
        <v>TALLERES</v>
      </c>
      <c r="F209" s="9" t="str">
        <f ca="1">'1ER PERIODO CONSTRUCCION DE LA '!D5</f>
        <v>ASCENDENTE</v>
      </c>
      <c r="G209" s="9" t="str">
        <f ca="1">'1ER PERIODO CONSTRUCCION DE LA '!E5</f>
        <v>BITACORA OPERATIVA</v>
      </c>
      <c r="H209" s="9">
        <f ca="1">'1ER PERIODO CONSTRUCCION DE LA '!F5</f>
        <v>100</v>
      </c>
      <c r="I209" s="9">
        <f ca="1">'1ER PERIODO CONSTRUCCION DE LA '!G5</f>
        <v>0</v>
      </c>
      <c r="J209" s="9">
        <f ca="1">'1ER PERIODO CONSTRUCCION DE LA '!H5</f>
        <v>0</v>
      </c>
      <c r="K209" s="9">
        <f ca="1">'1ER PERIODO CONSTRUCCION DE LA '!I5</f>
        <v>0</v>
      </c>
      <c r="L209" s="9">
        <f ca="1">'1ER PERIODO CONSTRUCCION DE LA '!J5</f>
        <v>0</v>
      </c>
      <c r="M209" s="9">
        <f ca="1">'1ER PERIODO CONSTRUCCION DE LA '!K5</f>
        <v>0</v>
      </c>
      <c r="N209" s="9">
        <f ca="1">'1ER PERIODO CONSTRUCCION DE LA '!L5</f>
        <v>1</v>
      </c>
      <c r="O209" s="9">
        <f ca="1">'1ER PERIODO CONSTRUCCION DE LA '!M5</f>
        <v>0</v>
      </c>
      <c r="P209" s="9">
        <f ca="1">'1ER PERIODO CONSTRUCCION DE LA '!N5</f>
        <v>0</v>
      </c>
      <c r="Q209" s="9">
        <f ca="1">'1ER PERIODO CONSTRUCCION DE LA '!O5</f>
        <v>0</v>
      </c>
      <c r="R209" s="9">
        <f ca="1">'1ER PERIODO CONSTRUCCION DE LA '!P5</f>
        <v>0</v>
      </c>
      <c r="S209" s="9">
        <f ca="1">'1ER PERIODO CONSTRUCCION DE LA '!Q5</f>
        <v>0</v>
      </c>
      <c r="T209" s="9">
        <f ca="1">'1ER PERIODO CONSTRUCCION DE LA '!R5</f>
        <v>0</v>
      </c>
      <c r="U209" s="9">
        <f ca="1">'1ER PERIODO CONSTRUCCION DE LA '!S5</f>
        <v>1</v>
      </c>
    </row>
    <row r="210" spans="1:21" ht="39.75" customHeight="1">
      <c r="A210" s="30"/>
      <c r="B210" s="31"/>
      <c r="C210" s="5" t="s">
        <v>38</v>
      </c>
      <c r="D210" s="9">
        <f ca="1">'1ER PERIODO CONSTRUCCION DE LA '!B6</f>
        <v>52520</v>
      </c>
      <c r="E210" s="9" t="str">
        <f ca="1">'1ER PERIODO CONSTRUCCION DE LA '!C6</f>
        <v>PERSONAS</v>
      </c>
      <c r="F210" s="9" t="str">
        <f ca="1">'1ER PERIODO CONSTRUCCION DE LA '!D6</f>
        <v>ASCENDENTE</v>
      </c>
      <c r="G210" s="9" t="str">
        <f ca="1">'1ER PERIODO CONSTRUCCION DE LA '!E6</f>
        <v>BITACORA OPERATIVA</v>
      </c>
      <c r="H210" s="9">
        <f ca="1">'1ER PERIODO CONSTRUCCION DE LA '!F6</f>
        <v>25.057121096725002</v>
      </c>
      <c r="I210" s="9">
        <f ca="1">'1ER PERIODO CONSTRUCCION DE LA '!G6</f>
        <v>0</v>
      </c>
      <c r="J210" s="9">
        <f ca="1">'1ER PERIODO CONSTRUCCION DE LA '!H6</f>
        <v>0</v>
      </c>
      <c r="K210" s="9">
        <f ca="1">'1ER PERIODO CONSTRUCCION DE LA '!I6</f>
        <v>0</v>
      </c>
      <c r="L210" s="9">
        <f ca="1">'1ER PERIODO CONSTRUCCION DE LA '!J6</f>
        <v>800</v>
      </c>
      <c r="M210" s="9">
        <f ca="1">'1ER PERIODO CONSTRUCCION DE LA '!K6</f>
        <v>12250</v>
      </c>
      <c r="N210" s="9">
        <f ca="1">'1ER PERIODO CONSTRUCCION DE LA '!L6</f>
        <v>110</v>
      </c>
      <c r="O210" s="9">
        <f ca="1">'1ER PERIODO CONSTRUCCION DE LA '!M6</f>
        <v>0</v>
      </c>
      <c r="P210" s="9">
        <f ca="1">'1ER PERIODO CONSTRUCCION DE LA '!N6</f>
        <v>0</v>
      </c>
      <c r="Q210" s="9">
        <f ca="1">'1ER PERIODO CONSTRUCCION DE LA '!O6</f>
        <v>0</v>
      </c>
      <c r="R210" s="9">
        <f ca="1">'1ER PERIODO CONSTRUCCION DE LA '!P6</f>
        <v>0</v>
      </c>
      <c r="S210" s="9">
        <f ca="1">'1ER PERIODO CONSTRUCCION DE LA '!Q6</f>
        <v>0</v>
      </c>
      <c r="T210" s="9">
        <f ca="1">'1ER PERIODO CONSTRUCCION DE LA '!R6</f>
        <v>0</v>
      </c>
      <c r="U210" s="9">
        <f ca="1">'1ER PERIODO CONSTRUCCION DE LA '!S6</f>
        <v>13160</v>
      </c>
    </row>
    <row r="211" spans="1:21" ht="39.75" customHeight="1">
      <c r="A211" s="30"/>
      <c r="B211" s="33" t="s">
        <v>250</v>
      </c>
      <c r="C211" s="9" t="s">
        <v>251</v>
      </c>
      <c r="D211" s="9">
        <f ca="1">'1ER PERIODO CONSTRUCCION DE LA '!B7</f>
        <v>456</v>
      </c>
      <c r="E211" s="9" t="str">
        <f ca="1">'1ER PERIODO CONSTRUCCION DE LA '!C7</f>
        <v>CLASES</v>
      </c>
      <c r="F211" s="9" t="str">
        <f ca="1">'1ER PERIODO CONSTRUCCION DE LA '!D7</f>
        <v>ASCENDENTE</v>
      </c>
      <c r="G211" s="9" t="str">
        <f ca="1">'1ER PERIODO CONSTRUCCION DE LA '!E7</f>
        <v>BITACORA OPERATIVA</v>
      </c>
      <c r="H211" s="9">
        <f ca="1">'1ER PERIODO CONSTRUCCION DE LA '!F7</f>
        <v>25</v>
      </c>
      <c r="I211" s="9">
        <f ca="1">'1ER PERIODO CONSTRUCCION DE LA '!G7</f>
        <v>0</v>
      </c>
      <c r="J211" s="9">
        <f ca="1">'1ER PERIODO CONSTRUCCION DE LA '!H7</f>
        <v>0</v>
      </c>
      <c r="K211" s="9">
        <f ca="1">'1ER PERIODO CONSTRUCCION DE LA '!I7</f>
        <v>0</v>
      </c>
      <c r="L211" s="9">
        <f ca="1">'1ER PERIODO CONSTRUCCION DE LA '!J7</f>
        <v>38</v>
      </c>
      <c r="M211" s="9">
        <f ca="1">'1ER PERIODO CONSTRUCCION DE LA '!K7</f>
        <v>38</v>
      </c>
      <c r="N211" s="9">
        <f ca="1">'1ER PERIODO CONSTRUCCION DE LA '!L7</f>
        <v>38</v>
      </c>
      <c r="O211" s="9">
        <f ca="1">'1ER PERIODO CONSTRUCCION DE LA '!M7</f>
        <v>0</v>
      </c>
      <c r="P211" s="9">
        <f ca="1">'1ER PERIODO CONSTRUCCION DE LA '!N7</f>
        <v>0</v>
      </c>
      <c r="Q211" s="9">
        <f ca="1">'1ER PERIODO CONSTRUCCION DE LA '!O7</f>
        <v>0</v>
      </c>
      <c r="R211" s="9">
        <f ca="1">'1ER PERIODO CONSTRUCCION DE LA '!P7</f>
        <v>0</v>
      </c>
      <c r="S211" s="9">
        <f ca="1">'1ER PERIODO CONSTRUCCION DE LA '!Q7</f>
        <v>0</v>
      </c>
      <c r="T211" s="9">
        <f ca="1">'1ER PERIODO CONSTRUCCION DE LA '!R7</f>
        <v>0</v>
      </c>
      <c r="U211" s="9">
        <f ca="1">'1ER PERIODO CONSTRUCCION DE LA '!S7</f>
        <v>114</v>
      </c>
    </row>
    <row r="212" spans="1:21" ht="39.75" customHeight="1">
      <c r="A212" s="30"/>
      <c r="B212" s="30"/>
      <c r="C212" s="9" t="s">
        <v>252</v>
      </c>
      <c r="D212" s="9">
        <f ca="1">'1ER PERIODO CONSTRUCCION DE LA '!B8</f>
        <v>84</v>
      </c>
      <c r="E212" s="9" t="str">
        <f ca="1">'1ER PERIODO CONSTRUCCION DE LA '!C8</f>
        <v>CLASES</v>
      </c>
      <c r="F212" s="9" t="str">
        <f ca="1">'1ER PERIODO CONSTRUCCION DE LA '!D8</f>
        <v>ASCENDENTE</v>
      </c>
      <c r="G212" s="9" t="str">
        <f ca="1">'1ER PERIODO CONSTRUCCION DE LA '!E8</f>
        <v>BITACORA OPERATIVA</v>
      </c>
      <c r="H212" s="9">
        <f ca="1">'1ER PERIODO CONSTRUCCION DE LA '!F8</f>
        <v>25</v>
      </c>
      <c r="I212" s="9">
        <f ca="1">'1ER PERIODO CONSTRUCCION DE LA '!G8</f>
        <v>0</v>
      </c>
      <c r="J212" s="9">
        <f ca="1">'1ER PERIODO CONSTRUCCION DE LA '!H8</f>
        <v>0</v>
      </c>
      <c r="K212" s="9">
        <f ca="1">'1ER PERIODO CONSTRUCCION DE LA '!I8</f>
        <v>0</v>
      </c>
      <c r="L212" s="9">
        <f ca="1">'1ER PERIODO CONSTRUCCION DE LA '!J8</f>
        <v>7</v>
      </c>
      <c r="M212" s="9">
        <f ca="1">'1ER PERIODO CONSTRUCCION DE LA '!K8</f>
        <v>7</v>
      </c>
      <c r="N212" s="9">
        <f ca="1">'1ER PERIODO CONSTRUCCION DE LA '!L8</f>
        <v>7</v>
      </c>
      <c r="O212" s="9">
        <f ca="1">'1ER PERIODO CONSTRUCCION DE LA '!M8</f>
        <v>0</v>
      </c>
      <c r="P212" s="9">
        <f ca="1">'1ER PERIODO CONSTRUCCION DE LA '!N8</f>
        <v>0</v>
      </c>
      <c r="Q212" s="9">
        <f ca="1">'1ER PERIODO CONSTRUCCION DE LA '!O8</f>
        <v>0</v>
      </c>
      <c r="R212" s="9">
        <f ca="1">'1ER PERIODO CONSTRUCCION DE LA '!P8</f>
        <v>0</v>
      </c>
      <c r="S212" s="9">
        <f ca="1">'1ER PERIODO CONSTRUCCION DE LA '!Q8</f>
        <v>0</v>
      </c>
      <c r="T212" s="9">
        <f ca="1">'1ER PERIODO CONSTRUCCION DE LA '!R8</f>
        <v>0</v>
      </c>
      <c r="U212" s="9">
        <f ca="1">'1ER PERIODO CONSTRUCCION DE LA '!S8</f>
        <v>21</v>
      </c>
    </row>
    <row r="213" spans="1:21" ht="39.75" customHeight="1">
      <c r="A213" s="30"/>
      <c r="B213" s="30"/>
      <c r="C213" s="9" t="s">
        <v>253</v>
      </c>
      <c r="D213" s="9">
        <f ca="1">'1ER PERIODO CONSTRUCCION DE LA '!B9</f>
        <v>240</v>
      </c>
      <c r="E213" s="9" t="str">
        <f ca="1">'1ER PERIODO CONSTRUCCION DE LA '!C9</f>
        <v>CLASES</v>
      </c>
      <c r="F213" s="9" t="str">
        <f ca="1">'1ER PERIODO CONSTRUCCION DE LA '!D9</f>
        <v>ASCENDENTE</v>
      </c>
      <c r="G213" s="9" t="str">
        <f ca="1">'1ER PERIODO CONSTRUCCION DE LA '!E9</f>
        <v>BITACORA OPERATIVA</v>
      </c>
      <c r="H213" s="9">
        <f ca="1">'1ER PERIODO CONSTRUCCION DE LA '!F9</f>
        <v>25</v>
      </c>
      <c r="I213" s="9">
        <f ca="1">'1ER PERIODO CONSTRUCCION DE LA '!G9</f>
        <v>0</v>
      </c>
      <c r="J213" s="9">
        <f ca="1">'1ER PERIODO CONSTRUCCION DE LA '!H9</f>
        <v>0</v>
      </c>
      <c r="K213" s="9">
        <f ca="1">'1ER PERIODO CONSTRUCCION DE LA '!I9</f>
        <v>0</v>
      </c>
      <c r="L213" s="9">
        <f ca="1">'1ER PERIODO CONSTRUCCION DE LA '!J9</f>
        <v>20</v>
      </c>
      <c r="M213" s="9">
        <f ca="1">'1ER PERIODO CONSTRUCCION DE LA '!K9</f>
        <v>20</v>
      </c>
      <c r="N213" s="9">
        <f ca="1">'1ER PERIODO CONSTRUCCION DE LA '!L9</f>
        <v>20</v>
      </c>
      <c r="O213" s="9">
        <f ca="1">'1ER PERIODO CONSTRUCCION DE LA '!M9</f>
        <v>0</v>
      </c>
      <c r="P213" s="9">
        <f ca="1">'1ER PERIODO CONSTRUCCION DE LA '!N9</f>
        <v>0</v>
      </c>
      <c r="Q213" s="9">
        <f ca="1">'1ER PERIODO CONSTRUCCION DE LA '!O9</f>
        <v>0</v>
      </c>
      <c r="R213" s="9">
        <f ca="1">'1ER PERIODO CONSTRUCCION DE LA '!P9</f>
        <v>0</v>
      </c>
      <c r="S213" s="9">
        <f ca="1">'1ER PERIODO CONSTRUCCION DE LA '!Q9</f>
        <v>0</v>
      </c>
      <c r="T213" s="9">
        <f ca="1">'1ER PERIODO CONSTRUCCION DE LA '!R9</f>
        <v>0</v>
      </c>
      <c r="U213" s="9">
        <f ca="1">'1ER PERIODO CONSTRUCCION DE LA '!S9</f>
        <v>60</v>
      </c>
    </row>
    <row r="214" spans="1:21" ht="39.75" customHeight="1">
      <c r="A214" s="30"/>
      <c r="B214" s="30"/>
      <c r="C214" s="9" t="s">
        <v>254</v>
      </c>
      <c r="D214" s="9">
        <f ca="1">'1ER PERIODO CONSTRUCCION DE LA '!B10</f>
        <v>216</v>
      </c>
      <c r="E214" s="9" t="str">
        <f ca="1">'1ER PERIODO CONSTRUCCION DE LA '!C10</f>
        <v>CLASES</v>
      </c>
      <c r="F214" s="9" t="str">
        <f ca="1">'1ER PERIODO CONSTRUCCION DE LA '!D10</f>
        <v>ASCENDENTE</v>
      </c>
      <c r="G214" s="9" t="str">
        <f ca="1">'1ER PERIODO CONSTRUCCION DE LA '!E10</f>
        <v>BITACORA OPERATIVA</v>
      </c>
      <c r="H214" s="9">
        <f ca="1">'1ER PERIODO CONSTRUCCION DE LA '!F10</f>
        <v>25</v>
      </c>
      <c r="I214" s="9">
        <f ca="1">'1ER PERIODO CONSTRUCCION DE LA '!G10</f>
        <v>0</v>
      </c>
      <c r="J214" s="9">
        <f ca="1">'1ER PERIODO CONSTRUCCION DE LA '!H10</f>
        <v>0</v>
      </c>
      <c r="K214" s="9">
        <f ca="1">'1ER PERIODO CONSTRUCCION DE LA '!I10</f>
        <v>0</v>
      </c>
      <c r="L214" s="9">
        <f ca="1">'1ER PERIODO CONSTRUCCION DE LA '!J10</f>
        <v>18</v>
      </c>
      <c r="M214" s="9">
        <f ca="1">'1ER PERIODO CONSTRUCCION DE LA '!K10</f>
        <v>18</v>
      </c>
      <c r="N214" s="9">
        <f ca="1">'1ER PERIODO CONSTRUCCION DE LA '!L10</f>
        <v>18</v>
      </c>
      <c r="O214" s="9">
        <f ca="1">'1ER PERIODO CONSTRUCCION DE LA '!M10</f>
        <v>0</v>
      </c>
      <c r="P214" s="9">
        <f ca="1">'1ER PERIODO CONSTRUCCION DE LA '!N10</f>
        <v>0</v>
      </c>
      <c r="Q214" s="9">
        <f ca="1">'1ER PERIODO CONSTRUCCION DE LA '!O10</f>
        <v>0</v>
      </c>
      <c r="R214" s="9">
        <f ca="1">'1ER PERIODO CONSTRUCCION DE LA '!P10</f>
        <v>0</v>
      </c>
      <c r="S214" s="9">
        <f ca="1">'1ER PERIODO CONSTRUCCION DE LA '!Q10</f>
        <v>0</v>
      </c>
      <c r="T214" s="9">
        <f ca="1">'1ER PERIODO CONSTRUCCION DE LA '!R10</f>
        <v>0</v>
      </c>
      <c r="U214" s="9">
        <f ca="1">'1ER PERIODO CONSTRUCCION DE LA '!S10</f>
        <v>54</v>
      </c>
    </row>
    <row r="215" spans="1:21" ht="39.75" customHeight="1">
      <c r="A215" s="30"/>
      <c r="B215" s="30"/>
      <c r="C215" s="13" t="s">
        <v>255</v>
      </c>
      <c r="D215" s="9">
        <f ca="1">'1ER PERIODO CONSTRUCCION DE LA '!B11</f>
        <v>2088</v>
      </c>
      <c r="E215" s="9" t="str">
        <f ca="1">'1ER PERIODO CONSTRUCCION DE LA '!C11</f>
        <v>CLASES</v>
      </c>
      <c r="F215" s="9" t="str">
        <f ca="1">'1ER PERIODO CONSTRUCCION DE LA '!D11</f>
        <v>ASCENDENTE</v>
      </c>
      <c r="G215" s="9" t="str">
        <f ca="1">'1ER PERIODO CONSTRUCCION DE LA '!E11</f>
        <v>BITACORA OPERATIVA</v>
      </c>
      <c r="H215" s="9">
        <f ca="1">'1ER PERIODO CONSTRUCCION DE LA '!F11</f>
        <v>25</v>
      </c>
      <c r="I215" s="9">
        <f ca="1">'1ER PERIODO CONSTRUCCION DE LA '!G11</f>
        <v>0</v>
      </c>
      <c r="J215" s="9">
        <f ca="1">'1ER PERIODO CONSTRUCCION DE LA '!H11</f>
        <v>0</v>
      </c>
      <c r="K215" s="9">
        <f ca="1">'1ER PERIODO CONSTRUCCION DE LA '!I11</f>
        <v>0</v>
      </c>
      <c r="L215" s="9">
        <f ca="1">'1ER PERIODO CONSTRUCCION DE LA '!J11</f>
        <v>174</v>
      </c>
      <c r="M215" s="9">
        <f ca="1">'1ER PERIODO CONSTRUCCION DE LA '!K11</f>
        <v>174</v>
      </c>
      <c r="N215" s="9">
        <f ca="1">'1ER PERIODO CONSTRUCCION DE LA '!L11</f>
        <v>174</v>
      </c>
      <c r="O215" s="9">
        <f ca="1">'1ER PERIODO CONSTRUCCION DE LA '!M11</f>
        <v>0</v>
      </c>
      <c r="P215" s="9">
        <f ca="1">'1ER PERIODO CONSTRUCCION DE LA '!N11</f>
        <v>0</v>
      </c>
      <c r="Q215" s="9">
        <f ca="1">'1ER PERIODO CONSTRUCCION DE LA '!O11</f>
        <v>0</v>
      </c>
      <c r="R215" s="9">
        <f ca="1">'1ER PERIODO CONSTRUCCION DE LA '!P11</f>
        <v>0</v>
      </c>
      <c r="S215" s="9">
        <f ca="1">'1ER PERIODO CONSTRUCCION DE LA '!Q11</f>
        <v>0</v>
      </c>
      <c r="T215" s="9">
        <f ca="1">'1ER PERIODO CONSTRUCCION DE LA '!R11</f>
        <v>0</v>
      </c>
      <c r="U215" s="9">
        <f ca="1">'1ER PERIODO CONSTRUCCION DE LA '!S11</f>
        <v>522</v>
      </c>
    </row>
    <row r="216" spans="1:21" ht="39.75" customHeight="1">
      <c r="A216" s="30"/>
      <c r="B216" s="30"/>
      <c r="C216" s="9" t="s">
        <v>256</v>
      </c>
      <c r="D216" s="9">
        <f ca="1">'1ER PERIODO CONSTRUCCION DE LA '!B12</f>
        <v>864</v>
      </c>
      <c r="E216" s="9" t="str">
        <f ca="1">'1ER PERIODO CONSTRUCCION DE LA '!C12</f>
        <v>CLASES</v>
      </c>
      <c r="F216" s="9" t="str">
        <f ca="1">'1ER PERIODO CONSTRUCCION DE LA '!D12</f>
        <v>ASCENDENTE</v>
      </c>
      <c r="G216" s="9" t="str">
        <f ca="1">'1ER PERIODO CONSTRUCCION DE LA '!E12</f>
        <v>BITACORA OPERATIVA</v>
      </c>
      <c r="H216" s="9">
        <f ca="1">'1ER PERIODO CONSTRUCCION DE LA '!F12</f>
        <v>25</v>
      </c>
      <c r="I216" s="9">
        <f ca="1">'1ER PERIODO CONSTRUCCION DE LA '!G12</f>
        <v>0</v>
      </c>
      <c r="J216" s="9">
        <f ca="1">'1ER PERIODO CONSTRUCCION DE LA '!H12</f>
        <v>0</v>
      </c>
      <c r="K216" s="9">
        <f ca="1">'1ER PERIODO CONSTRUCCION DE LA '!I12</f>
        <v>0</v>
      </c>
      <c r="L216" s="9">
        <f ca="1">'1ER PERIODO CONSTRUCCION DE LA '!J12</f>
        <v>72</v>
      </c>
      <c r="M216" s="9">
        <f ca="1">'1ER PERIODO CONSTRUCCION DE LA '!K12</f>
        <v>72</v>
      </c>
      <c r="N216" s="9">
        <f ca="1">'1ER PERIODO CONSTRUCCION DE LA '!L12</f>
        <v>72</v>
      </c>
      <c r="O216" s="9">
        <f ca="1">'1ER PERIODO CONSTRUCCION DE LA '!M12</f>
        <v>0</v>
      </c>
      <c r="P216" s="9">
        <f ca="1">'1ER PERIODO CONSTRUCCION DE LA '!N12</f>
        <v>0</v>
      </c>
      <c r="Q216" s="9">
        <f ca="1">'1ER PERIODO CONSTRUCCION DE LA '!O12</f>
        <v>0</v>
      </c>
      <c r="R216" s="9">
        <f ca="1">'1ER PERIODO CONSTRUCCION DE LA '!P12</f>
        <v>0</v>
      </c>
      <c r="S216" s="9">
        <f ca="1">'1ER PERIODO CONSTRUCCION DE LA '!Q12</f>
        <v>0</v>
      </c>
      <c r="T216" s="9">
        <f ca="1">'1ER PERIODO CONSTRUCCION DE LA '!R12</f>
        <v>0</v>
      </c>
      <c r="U216" s="9">
        <f ca="1">'1ER PERIODO CONSTRUCCION DE LA '!S12</f>
        <v>216</v>
      </c>
    </row>
    <row r="217" spans="1:21" ht="39.75" customHeight="1">
      <c r="A217" s="30"/>
      <c r="B217" s="30"/>
      <c r="C217" s="9" t="s">
        <v>257</v>
      </c>
      <c r="D217" s="9">
        <f ca="1">'1ER PERIODO CONSTRUCCION DE LA '!B13</f>
        <v>48</v>
      </c>
      <c r="E217" s="9" t="str">
        <f ca="1">'1ER PERIODO CONSTRUCCION DE LA '!C13</f>
        <v>CLASES</v>
      </c>
      <c r="F217" s="9" t="str">
        <f ca="1">'1ER PERIODO CONSTRUCCION DE LA '!D13</f>
        <v>ASCENDENTE</v>
      </c>
      <c r="G217" s="9" t="str">
        <f ca="1">'1ER PERIODO CONSTRUCCION DE LA '!E13</f>
        <v>BITACORA OPERATIVA</v>
      </c>
      <c r="H217" s="9">
        <f ca="1">'1ER PERIODO CONSTRUCCION DE LA '!F13</f>
        <v>6377.0833333333303</v>
      </c>
      <c r="I217" s="9">
        <f ca="1">'1ER PERIODO CONSTRUCCION DE LA '!G13</f>
        <v>0</v>
      </c>
      <c r="J217" s="9">
        <f ca="1">'1ER PERIODO CONSTRUCCION DE LA '!H13</f>
        <v>0</v>
      </c>
      <c r="K217" s="9">
        <f ca="1">'1ER PERIODO CONSTRUCCION DE LA '!I13</f>
        <v>0</v>
      </c>
      <c r="L217" s="9">
        <f ca="1">'1ER PERIODO CONSTRUCCION DE LA '!J13</f>
        <v>1733</v>
      </c>
      <c r="M217" s="9">
        <f ca="1">'1ER PERIODO CONSTRUCCION DE LA '!K13</f>
        <v>1323</v>
      </c>
      <c r="N217" s="9">
        <f ca="1">'1ER PERIODO CONSTRUCCION DE LA '!L13</f>
        <v>5</v>
      </c>
      <c r="O217" s="9">
        <f ca="1">'1ER PERIODO CONSTRUCCION DE LA '!M13</f>
        <v>0</v>
      </c>
      <c r="P217" s="9">
        <f ca="1">'1ER PERIODO CONSTRUCCION DE LA '!N13</f>
        <v>0</v>
      </c>
      <c r="Q217" s="9">
        <f ca="1">'1ER PERIODO CONSTRUCCION DE LA '!O13</f>
        <v>0</v>
      </c>
      <c r="R217" s="9">
        <f ca="1">'1ER PERIODO CONSTRUCCION DE LA '!P13</f>
        <v>0</v>
      </c>
      <c r="S217" s="9">
        <f ca="1">'1ER PERIODO CONSTRUCCION DE LA '!Q13</f>
        <v>0</v>
      </c>
      <c r="T217" s="9">
        <f ca="1">'1ER PERIODO CONSTRUCCION DE LA '!R13</f>
        <v>0</v>
      </c>
      <c r="U217" s="9">
        <f ca="1">'1ER PERIODO CONSTRUCCION DE LA '!S13</f>
        <v>3061</v>
      </c>
    </row>
    <row r="218" spans="1:21" ht="39.75" customHeight="1">
      <c r="A218" s="30"/>
      <c r="B218" s="31"/>
      <c r="C218" s="9" t="s">
        <v>258</v>
      </c>
      <c r="D218" s="9">
        <f ca="1">'1ER PERIODO CONSTRUCCION DE LA '!B14</f>
        <v>16732</v>
      </c>
      <c r="E218" s="9" t="str">
        <f ca="1">'1ER PERIODO CONSTRUCCION DE LA '!C14</f>
        <v>PERSONAS</v>
      </c>
      <c r="F218" s="9" t="str">
        <f ca="1">'1ER PERIODO CONSTRUCCION DE LA '!D14</f>
        <v>ASCENDENTE</v>
      </c>
      <c r="G218" s="9" t="str">
        <f ca="1">'1ER PERIODO CONSTRUCCION DE LA '!E14</f>
        <v>BITACORA OPERATIVA</v>
      </c>
      <c r="H218" s="9">
        <f ca="1">'1ER PERIODO CONSTRUCCION DE LA '!F14</f>
        <v>4.1836002868754399E-2</v>
      </c>
      <c r="I218" s="9">
        <f ca="1">'1ER PERIODO CONSTRUCCION DE LA '!G14</f>
        <v>0</v>
      </c>
      <c r="J218" s="9">
        <f ca="1">'1ER PERIODO CONSTRUCCION DE LA '!H14</f>
        <v>0</v>
      </c>
      <c r="K218" s="9">
        <f ca="1">'1ER PERIODO CONSTRUCCION DE LA '!I14</f>
        <v>0</v>
      </c>
      <c r="L218" s="9">
        <f ca="1">'1ER PERIODO CONSTRUCCION DE LA '!J14</f>
        <v>2</v>
      </c>
      <c r="M218" s="9">
        <f ca="1">'1ER PERIODO CONSTRUCCION DE LA '!K14</f>
        <v>3</v>
      </c>
      <c r="N218" s="9">
        <f ca="1">'1ER PERIODO CONSTRUCCION DE LA '!L14</f>
        <v>2</v>
      </c>
      <c r="O218" s="9">
        <f ca="1">'1ER PERIODO CONSTRUCCION DE LA '!M14</f>
        <v>0</v>
      </c>
      <c r="P218" s="9">
        <f ca="1">'1ER PERIODO CONSTRUCCION DE LA '!N14</f>
        <v>0</v>
      </c>
      <c r="Q218" s="9">
        <f ca="1">'1ER PERIODO CONSTRUCCION DE LA '!O14</f>
        <v>0</v>
      </c>
      <c r="R218" s="9">
        <f ca="1">'1ER PERIODO CONSTRUCCION DE LA '!P14</f>
        <v>0</v>
      </c>
      <c r="S218" s="9">
        <f ca="1">'1ER PERIODO CONSTRUCCION DE LA '!Q14</f>
        <v>0</v>
      </c>
      <c r="T218" s="9">
        <f ca="1">'1ER PERIODO CONSTRUCCION DE LA '!R14</f>
        <v>0</v>
      </c>
      <c r="U218" s="9">
        <f ca="1">'1ER PERIODO CONSTRUCCION DE LA '!S14</f>
        <v>7</v>
      </c>
    </row>
    <row r="219" spans="1:21" ht="39.75" customHeight="1">
      <c r="A219" s="30"/>
      <c r="B219" s="33" t="s">
        <v>259</v>
      </c>
      <c r="C219" s="9" t="s">
        <v>37</v>
      </c>
      <c r="D219" s="9">
        <f ca="1">'1ER PERIODO CONSTRUCCION DE LA '!B15</f>
        <v>28</v>
      </c>
      <c r="E219" s="9" t="str">
        <f ca="1">'1ER PERIODO CONSTRUCCION DE LA '!C15</f>
        <v>PROGRAMAS</v>
      </c>
      <c r="F219" s="9" t="str">
        <f ca="1">'1ER PERIODO CONSTRUCCION DE LA '!D15</f>
        <v>ASCENDENTE</v>
      </c>
      <c r="G219" s="9" t="str">
        <f ca="1">'1ER PERIODO CONSTRUCCION DE LA '!E15</f>
        <v>BITACORA OPERATIVA</v>
      </c>
      <c r="H219" s="9">
        <f ca="1">'1ER PERIODO CONSTRUCCION DE LA '!F15</f>
        <v>3035.7142857142799</v>
      </c>
      <c r="I219" s="9">
        <f ca="1">'1ER PERIODO CONSTRUCCION DE LA '!G15</f>
        <v>0</v>
      </c>
      <c r="J219" s="9">
        <f ca="1">'1ER PERIODO CONSTRUCCION DE LA '!H15</f>
        <v>0</v>
      </c>
      <c r="K219" s="9">
        <f ca="1">'1ER PERIODO CONSTRUCCION DE LA '!I15</f>
        <v>0</v>
      </c>
      <c r="L219" s="9">
        <f ca="1">'1ER PERIODO CONSTRUCCION DE LA '!J15</f>
        <v>300</v>
      </c>
      <c r="M219" s="9">
        <f ca="1">'1ER PERIODO CONSTRUCCION DE LA '!K15</f>
        <v>500</v>
      </c>
      <c r="N219" s="9">
        <f ca="1">'1ER PERIODO CONSTRUCCION DE LA '!L15</f>
        <v>50</v>
      </c>
      <c r="O219" s="9">
        <f ca="1">'1ER PERIODO CONSTRUCCION DE LA '!M15</f>
        <v>0</v>
      </c>
      <c r="P219" s="9">
        <f ca="1">'1ER PERIODO CONSTRUCCION DE LA '!N15</f>
        <v>0</v>
      </c>
      <c r="Q219" s="9">
        <f ca="1">'1ER PERIODO CONSTRUCCION DE LA '!O15</f>
        <v>0</v>
      </c>
      <c r="R219" s="9">
        <f ca="1">'1ER PERIODO CONSTRUCCION DE LA '!P15</f>
        <v>0</v>
      </c>
      <c r="S219" s="9">
        <f ca="1">'1ER PERIODO CONSTRUCCION DE LA '!Q15</f>
        <v>0</v>
      </c>
      <c r="T219" s="9">
        <f ca="1">'1ER PERIODO CONSTRUCCION DE LA '!R15</f>
        <v>0</v>
      </c>
      <c r="U219" s="9">
        <f ca="1">'1ER PERIODO CONSTRUCCION DE LA '!S15</f>
        <v>850</v>
      </c>
    </row>
    <row r="220" spans="1:21" ht="39.75" customHeight="1">
      <c r="A220" s="30"/>
      <c r="B220" s="31"/>
      <c r="C220" s="9" t="s">
        <v>38</v>
      </c>
      <c r="D220" s="9">
        <f ca="1">'1ER PERIODO CONSTRUCCION DE LA '!B16</f>
        <v>3400</v>
      </c>
      <c r="E220" s="9" t="str">
        <f ca="1">'1ER PERIODO CONSTRUCCION DE LA '!C16</f>
        <v>PERSONAS</v>
      </c>
      <c r="F220" s="9" t="str">
        <f ca="1">'1ER PERIODO CONSTRUCCION DE LA '!D16</f>
        <v>ASCENDENTE</v>
      </c>
      <c r="G220" s="9" t="str">
        <f ca="1">'1ER PERIODO CONSTRUCCION DE LA '!E16</f>
        <v>BITACORA OPERATIVA</v>
      </c>
      <c r="H220" s="9">
        <f ca="1">'1ER PERIODO CONSTRUCCION DE LA '!F16</f>
        <v>0.23529411764705799</v>
      </c>
      <c r="I220" s="9">
        <f ca="1">'1ER PERIODO CONSTRUCCION DE LA '!G16</f>
        <v>0</v>
      </c>
      <c r="J220" s="9">
        <f ca="1">'1ER PERIODO CONSTRUCCION DE LA '!H16</f>
        <v>0</v>
      </c>
      <c r="K220" s="9">
        <f ca="1">'1ER PERIODO CONSTRUCCION DE LA '!I16</f>
        <v>0</v>
      </c>
      <c r="L220" s="9">
        <f ca="1">'1ER PERIODO CONSTRUCCION DE LA '!J16</f>
        <v>2</v>
      </c>
      <c r="M220" s="9">
        <f ca="1">'1ER PERIODO CONSTRUCCION DE LA '!K16</f>
        <v>3</v>
      </c>
      <c r="N220" s="9">
        <f ca="1">'1ER PERIODO CONSTRUCCION DE LA '!L16</f>
        <v>3</v>
      </c>
      <c r="O220" s="9">
        <f ca="1">'1ER PERIODO CONSTRUCCION DE LA '!M16</f>
        <v>0</v>
      </c>
      <c r="P220" s="9">
        <f ca="1">'1ER PERIODO CONSTRUCCION DE LA '!N16</f>
        <v>0</v>
      </c>
      <c r="Q220" s="9">
        <f ca="1">'1ER PERIODO CONSTRUCCION DE LA '!O16</f>
        <v>0</v>
      </c>
      <c r="R220" s="9">
        <f ca="1">'1ER PERIODO CONSTRUCCION DE LA '!P16</f>
        <v>0</v>
      </c>
      <c r="S220" s="9">
        <f ca="1">'1ER PERIODO CONSTRUCCION DE LA '!Q16</f>
        <v>0</v>
      </c>
      <c r="T220" s="9">
        <f ca="1">'1ER PERIODO CONSTRUCCION DE LA '!R16</f>
        <v>0</v>
      </c>
      <c r="U220" s="9">
        <f ca="1">'1ER PERIODO CONSTRUCCION DE LA '!S16</f>
        <v>8</v>
      </c>
    </row>
    <row r="221" spans="1:21" ht="39.75" customHeight="1">
      <c r="A221" s="30"/>
      <c r="B221" s="33" t="s">
        <v>260</v>
      </c>
      <c r="C221" s="9" t="s">
        <v>37</v>
      </c>
      <c r="D221" s="9">
        <f ca="1">'1ER PERIODO CONSTRUCCION DE LA '!B17</f>
        <v>32</v>
      </c>
      <c r="E221" s="9" t="str">
        <f ca="1">'1ER PERIODO CONSTRUCCION DE LA '!C17</f>
        <v>PROGRAMAS</v>
      </c>
      <c r="F221" s="9" t="str">
        <f ca="1">'1ER PERIODO CONSTRUCCION DE LA '!D17</f>
        <v>ASCENDENTE</v>
      </c>
      <c r="G221" s="9" t="str">
        <f ca="1">'1ER PERIODO CONSTRUCCION DE LA '!E17</f>
        <v>BITACORA OPERATIVA</v>
      </c>
      <c r="H221" s="9">
        <f ca="1">'1ER PERIODO CONSTRUCCION DE LA '!F17</f>
        <v>37.5</v>
      </c>
      <c r="I221" s="9">
        <f ca="1">'1ER PERIODO CONSTRUCCION DE LA '!G17</f>
        <v>0</v>
      </c>
      <c r="J221" s="9">
        <f ca="1">'1ER PERIODO CONSTRUCCION DE LA '!H17</f>
        <v>0</v>
      </c>
      <c r="K221" s="9">
        <f ca="1">'1ER PERIODO CONSTRUCCION DE LA '!I17</f>
        <v>0</v>
      </c>
      <c r="L221" s="9">
        <f ca="1">'1ER PERIODO CONSTRUCCION DE LA '!J17</f>
        <v>5</v>
      </c>
      <c r="M221" s="9">
        <f ca="1">'1ER PERIODO CONSTRUCCION DE LA '!K17</f>
        <v>3</v>
      </c>
      <c r="N221" s="9">
        <f ca="1">'1ER PERIODO CONSTRUCCION DE LA '!L17</f>
        <v>4</v>
      </c>
      <c r="O221" s="9">
        <f ca="1">'1ER PERIODO CONSTRUCCION DE LA '!M17</f>
        <v>0</v>
      </c>
      <c r="P221" s="9">
        <f ca="1">'1ER PERIODO CONSTRUCCION DE LA '!N17</f>
        <v>0</v>
      </c>
      <c r="Q221" s="9">
        <f ca="1">'1ER PERIODO CONSTRUCCION DE LA '!O17</f>
        <v>0</v>
      </c>
      <c r="R221" s="9">
        <f ca="1">'1ER PERIODO CONSTRUCCION DE LA '!P17</f>
        <v>0</v>
      </c>
      <c r="S221" s="9">
        <f ca="1">'1ER PERIODO CONSTRUCCION DE LA '!Q17</f>
        <v>0</v>
      </c>
      <c r="T221" s="9">
        <f ca="1">'1ER PERIODO CONSTRUCCION DE LA '!R17</f>
        <v>0</v>
      </c>
      <c r="U221" s="9">
        <f ca="1">'1ER PERIODO CONSTRUCCION DE LA '!S17</f>
        <v>12</v>
      </c>
    </row>
    <row r="222" spans="1:21" ht="39.75" customHeight="1">
      <c r="A222" s="30"/>
      <c r="B222" s="31"/>
      <c r="C222" s="9" t="s">
        <v>261</v>
      </c>
      <c r="D222" s="9">
        <f ca="1">'1ER PERIODO CONSTRUCCION DE LA '!B18</f>
        <v>92</v>
      </c>
      <c r="E222" s="9" t="str">
        <f ca="1">'1ER PERIODO CONSTRUCCION DE LA '!C18</f>
        <v>ESCUELAS</v>
      </c>
      <c r="F222" s="9" t="str">
        <f ca="1">'1ER PERIODO CONSTRUCCION DE LA '!D18</f>
        <v>ASCENDENTE</v>
      </c>
      <c r="G222" s="9" t="str">
        <f ca="1">'1ER PERIODO CONSTRUCCION DE LA '!E18</f>
        <v>BITACORA OPERATIVA</v>
      </c>
      <c r="H222" s="9">
        <f ca="1">'1ER PERIODO CONSTRUCCION DE LA '!F18</f>
        <v>786.95652173913004</v>
      </c>
      <c r="I222" s="9">
        <f ca="1">'1ER PERIODO CONSTRUCCION DE LA '!G18</f>
        <v>0</v>
      </c>
      <c r="J222" s="9">
        <f ca="1">'1ER PERIODO CONSTRUCCION DE LA '!H18</f>
        <v>0</v>
      </c>
      <c r="K222" s="9">
        <f ca="1">'1ER PERIODO CONSTRUCCION DE LA '!I18</f>
        <v>0</v>
      </c>
      <c r="L222" s="9">
        <f ca="1">'1ER PERIODO CONSTRUCCION DE LA '!J18</f>
        <v>171</v>
      </c>
      <c r="M222" s="9">
        <f ca="1">'1ER PERIODO CONSTRUCCION DE LA '!K18</f>
        <v>167</v>
      </c>
      <c r="N222" s="9">
        <f ca="1">'1ER PERIODO CONSTRUCCION DE LA '!L18</f>
        <v>386</v>
      </c>
      <c r="O222" s="9">
        <f ca="1">'1ER PERIODO CONSTRUCCION DE LA '!M18</f>
        <v>0</v>
      </c>
      <c r="P222" s="9">
        <f ca="1">'1ER PERIODO CONSTRUCCION DE LA '!N18</f>
        <v>0</v>
      </c>
      <c r="Q222" s="9">
        <f ca="1">'1ER PERIODO CONSTRUCCION DE LA '!O18</f>
        <v>0</v>
      </c>
      <c r="R222" s="9">
        <f ca="1">'1ER PERIODO CONSTRUCCION DE LA '!P18</f>
        <v>0</v>
      </c>
      <c r="S222" s="9">
        <f ca="1">'1ER PERIODO CONSTRUCCION DE LA '!Q18</f>
        <v>0</v>
      </c>
      <c r="T222" s="9">
        <f ca="1">'1ER PERIODO CONSTRUCCION DE LA '!R18</f>
        <v>0</v>
      </c>
      <c r="U222" s="9">
        <f ca="1">'1ER PERIODO CONSTRUCCION DE LA '!S18</f>
        <v>724</v>
      </c>
    </row>
    <row r="223" spans="1:21" ht="39.75" customHeight="1">
      <c r="A223" s="30"/>
      <c r="B223" s="33" t="s">
        <v>262</v>
      </c>
      <c r="C223" s="9" t="s">
        <v>38</v>
      </c>
      <c r="D223" s="9">
        <f ca="1">'1ER PERIODO CONSTRUCCION DE LA '!B19</f>
        <v>48</v>
      </c>
      <c r="E223" s="9" t="str">
        <f ca="1">'1ER PERIODO CONSTRUCCION DE LA '!C19</f>
        <v>PERSONAS</v>
      </c>
      <c r="F223" s="9" t="str">
        <f ca="1">'1ER PERIODO CONSTRUCCION DE LA '!D19</f>
        <v>ASCENDENTE</v>
      </c>
      <c r="G223" s="9" t="str">
        <f ca="1">'1ER PERIODO CONSTRUCCION DE LA '!E19</f>
        <v>BITACORA OPERATIVA</v>
      </c>
      <c r="H223" s="9">
        <f ca="1">'1ER PERIODO CONSTRUCCION DE LA '!F19</f>
        <v>16.6666666666666</v>
      </c>
      <c r="I223" s="9">
        <f ca="1">'1ER PERIODO CONSTRUCCION DE LA '!G19</f>
        <v>0</v>
      </c>
      <c r="J223" s="9">
        <f ca="1">'1ER PERIODO CONSTRUCCION DE LA '!H19</f>
        <v>0</v>
      </c>
      <c r="K223" s="9">
        <f ca="1">'1ER PERIODO CONSTRUCCION DE LA '!I19</f>
        <v>0</v>
      </c>
      <c r="L223" s="9">
        <f ca="1">'1ER PERIODO CONSTRUCCION DE LA '!J19</f>
        <v>2</v>
      </c>
      <c r="M223" s="9">
        <f ca="1">'1ER PERIODO CONSTRUCCION DE LA '!K19</f>
        <v>4</v>
      </c>
      <c r="N223" s="9">
        <f ca="1">'1ER PERIODO CONSTRUCCION DE LA '!L19</f>
        <v>2</v>
      </c>
      <c r="O223" s="9">
        <f ca="1">'1ER PERIODO CONSTRUCCION DE LA '!M19</f>
        <v>0</v>
      </c>
      <c r="P223" s="9">
        <f ca="1">'1ER PERIODO CONSTRUCCION DE LA '!N19</f>
        <v>0</v>
      </c>
      <c r="Q223" s="9">
        <f ca="1">'1ER PERIODO CONSTRUCCION DE LA '!O19</f>
        <v>0</v>
      </c>
      <c r="R223" s="9">
        <f ca="1">'1ER PERIODO CONSTRUCCION DE LA '!P19</f>
        <v>0</v>
      </c>
      <c r="S223" s="9">
        <f ca="1">'1ER PERIODO CONSTRUCCION DE LA '!Q19</f>
        <v>0</v>
      </c>
      <c r="T223" s="9">
        <f ca="1">'1ER PERIODO CONSTRUCCION DE LA '!R19</f>
        <v>0</v>
      </c>
      <c r="U223" s="9">
        <f ca="1">'1ER PERIODO CONSTRUCCION DE LA '!S19</f>
        <v>8</v>
      </c>
    </row>
    <row r="224" spans="1:21" ht="39.75" customHeight="1">
      <c r="A224" s="30"/>
      <c r="B224" s="31"/>
      <c r="C224" s="9" t="s">
        <v>37</v>
      </c>
      <c r="D224" s="9">
        <f ca="1">'1ER PERIODO CONSTRUCCION DE LA '!B20</f>
        <v>2908</v>
      </c>
      <c r="E224" s="9" t="str">
        <f ca="1">'1ER PERIODO CONSTRUCCION DE LA '!C20</f>
        <v>PROGRAMAS</v>
      </c>
      <c r="F224" s="9" t="str">
        <f ca="1">'1ER PERIODO CONSTRUCCION DE LA '!D20</f>
        <v>ASCENDENTE</v>
      </c>
      <c r="G224" s="9" t="str">
        <f ca="1">'1ER PERIODO CONSTRUCCION DE LA '!E20</f>
        <v>BITACORA OPERATIVA</v>
      </c>
      <c r="H224" s="9">
        <f ca="1">'1ER PERIODO CONSTRUCCION DE LA '!F20</f>
        <v>24.896836313617602</v>
      </c>
      <c r="I224" s="9">
        <f ca="1">'1ER PERIODO CONSTRUCCION DE LA '!G20</f>
        <v>0</v>
      </c>
      <c r="J224" s="9">
        <f ca="1">'1ER PERIODO CONSTRUCCION DE LA '!H20</f>
        <v>0</v>
      </c>
      <c r="K224" s="9">
        <f ca="1">'1ER PERIODO CONSTRUCCION DE LA '!I20</f>
        <v>0</v>
      </c>
      <c r="L224" s="9">
        <f ca="1">'1ER PERIODO CONSTRUCCION DE LA '!J20</f>
        <v>171</v>
      </c>
      <c r="M224" s="9">
        <f ca="1">'1ER PERIODO CONSTRUCCION DE LA '!K20</f>
        <v>167</v>
      </c>
      <c r="N224" s="9">
        <f ca="1">'1ER PERIODO CONSTRUCCION DE LA '!L20</f>
        <v>386</v>
      </c>
      <c r="O224" s="9">
        <f ca="1">'1ER PERIODO CONSTRUCCION DE LA '!M20</f>
        <v>0</v>
      </c>
      <c r="P224" s="9">
        <f ca="1">'1ER PERIODO CONSTRUCCION DE LA '!N20</f>
        <v>0</v>
      </c>
      <c r="Q224" s="9">
        <f ca="1">'1ER PERIODO CONSTRUCCION DE LA '!O20</f>
        <v>0</v>
      </c>
      <c r="R224" s="9">
        <f ca="1">'1ER PERIODO CONSTRUCCION DE LA '!P20</f>
        <v>0</v>
      </c>
      <c r="S224" s="9">
        <f ca="1">'1ER PERIODO CONSTRUCCION DE LA '!Q20</f>
        <v>0</v>
      </c>
      <c r="T224" s="9">
        <f ca="1">'1ER PERIODO CONSTRUCCION DE LA '!R20</f>
        <v>0</v>
      </c>
      <c r="U224" s="9">
        <f ca="1">'1ER PERIODO CONSTRUCCION DE LA '!S20</f>
        <v>724</v>
      </c>
    </row>
    <row r="225" spans="1:21" ht="39.75" customHeight="1">
      <c r="A225" s="30"/>
      <c r="B225" s="33" t="s">
        <v>263</v>
      </c>
      <c r="C225" s="9" t="s">
        <v>37</v>
      </c>
      <c r="D225" s="9">
        <f ca="1">'1ER PERIODO CONSTRUCCION DE LA '!B21</f>
        <v>1</v>
      </c>
      <c r="E225" s="9" t="str">
        <f ca="1">'1ER PERIODO CONSTRUCCION DE LA '!C21</f>
        <v>PROGRAMAS</v>
      </c>
      <c r="F225" s="9" t="str">
        <f ca="1">'1ER PERIODO CONSTRUCCION DE LA '!D21</f>
        <v>ASCENDENTE</v>
      </c>
      <c r="G225" s="9" t="str">
        <f ca="1">'1ER PERIODO CONSTRUCCION DE LA '!E21</f>
        <v>BITACORA OPERATIVA</v>
      </c>
      <c r="H225" s="9">
        <f ca="1">'1ER PERIODO CONSTRUCCION DE LA '!F21</f>
        <v>800</v>
      </c>
      <c r="I225" s="9">
        <f ca="1">'1ER PERIODO CONSTRUCCION DE LA '!G21</f>
        <v>0</v>
      </c>
      <c r="J225" s="9">
        <f ca="1">'1ER PERIODO CONSTRUCCION DE LA '!H21</f>
        <v>0</v>
      </c>
      <c r="K225" s="9">
        <f ca="1">'1ER PERIODO CONSTRUCCION DE LA '!I21</f>
        <v>0</v>
      </c>
      <c r="L225" s="9">
        <f ca="1">'1ER PERIODO CONSTRUCCION DE LA '!J21</f>
        <v>2</v>
      </c>
      <c r="M225" s="9">
        <f ca="1">'1ER PERIODO CONSTRUCCION DE LA '!K21</f>
        <v>4</v>
      </c>
      <c r="N225" s="9">
        <f ca="1">'1ER PERIODO CONSTRUCCION DE LA '!L21</f>
        <v>2</v>
      </c>
      <c r="O225" s="9">
        <f ca="1">'1ER PERIODO CONSTRUCCION DE LA '!M21</f>
        <v>0</v>
      </c>
      <c r="P225" s="9">
        <f ca="1">'1ER PERIODO CONSTRUCCION DE LA '!N21</f>
        <v>0</v>
      </c>
      <c r="Q225" s="9">
        <f ca="1">'1ER PERIODO CONSTRUCCION DE LA '!O21</f>
        <v>0</v>
      </c>
      <c r="R225" s="9">
        <f ca="1">'1ER PERIODO CONSTRUCCION DE LA '!P21</f>
        <v>0</v>
      </c>
      <c r="S225" s="9">
        <f ca="1">'1ER PERIODO CONSTRUCCION DE LA '!Q21</f>
        <v>0</v>
      </c>
      <c r="T225" s="9">
        <f ca="1">'1ER PERIODO CONSTRUCCION DE LA '!R21</f>
        <v>0</v>
      </c>
      <c r="U225" s="9">
        <f ca="1">'1ER PERIODO CONSTRUCCION DE LA '!S21</f>
        <v>8</v>
      </c>
    </row>
    <row r="226" spans="1:21" ht="39.75" customHeight="1">
      <c r="A226" s="30"/>
      <c r="B226" s="31"/>
      <c r="C226" s="9" t="s">
        <v>38</v>
      </c>
      <c r="D226" s="9">
        <f ca="1">'1ER PERIODO CONSTRUCCION DE LA '!B22</f>
        <v>1</v>
      </c>
      <c r="E226" s="9" t="str">
        <f ca="1">'1ER PERIODO CONSTRUCCION DE LA '!C22</f>
        <v>PERSONAS</v>
      </c>
      <c r="F226" s="9" t="str">
        <f ca="1">'1ER PERIODO CONSTRUCCION DE LA '!D22</f>
        <v>ASCENDENTE</v>
      </c>
      <c r="G226" s="9" t="str">
        <f ca="1">'1ER PERIODO CONSTRUCCION DE LA '!E22</f>
        <v>BITACORA OPERATIVA</v>
      </c>
      <c r="H226" s="9">
        <f ca="1">'1ER PERIODO CONSTRUCCION DE LA '!F22</f>
        <v>45000</v>
      </c>
      <c r="I226" s="9">
        <f ca="1">'1ER PERIODO CONSTRUCCION DE LA '!G22</f>
        <v>0</v>
      </c>
      <c r="J226" s="9">
        <f ca="1">'1ER PERIODO CONSTRUCCION DE LA '!H22</f>
        <v>0</v>
      </c>
      <c r="K226" s="9">
        <f ca="1">'1ER PERIODO CONSTRUCCION DE LA '!I22</f>
        <v>0</v>
      </c>
      <c r="L226" s="9">
        <f ca="1">'1ER PERIODO CONSTRUCCION DE LA '!J22</f>
        <v>100</v>
      </c>
      <c r="M226" s="9">
        <f ca="1">'1ER PERIODO CONSTRUCCION DE LA '!K22</f>
        <v>300</v>
      </c>
      <c r="N226" s="9">
        <f ca="1">'1ER PERIODO CONSTRUCCION DE LA '!L22</f>
        <v>50</v>
      </c>
      <c r="O226" s="9">
        <f ca="1">'1ER PERIODO CONSTRUCCION DE LA '!M22</f>
        <v>0</v>
      </c>
      <c r="P226" s="9">
        <f ca="1">'1ER PERIODO CONSTRUCCION DE LA '!N22</f>
        <v>0</v>
      </c>
      <c r="Q226" s="9">
        <f ca="1">'1ER PERIODO CONSTRUCCION DE LA '!O22</f>
        <v>0</v>
      </c>
      <c r="R226" s="9">
        <f ca="1">'1ER PERIODO CONSTRUCCION DE LA '!P22</f>
        <v>0</v>
      </c>
      <c r="S226" s="9">
        <f ca="1">'1ER PERIODO CONSTRUCCION DE LA '!Q22</f>
        <v>0</v>
      </c>
      <c r="T226" s="9">
        <f ca="1">'1ER PERIODO CONSTRUCCION DE LA '!R22</f>
        <v>0</v>
      </c>
      <c r="U226" s="9">
        <f ca="1">'1ER PERIODO CONSTRUCCION DE LA '!S22</f>
        <v>450</v>
      </c>
    </row>
    <row r="227" spans="1:21" ht="39.75" customHeight="1">
      <c r="A227" s="30"/>
      <c r="B227" s="33" t="s">
        <v>264</v>
      </c>
      <c r="C227" s="9" t="s">
        <v>248</v>
      </c>
      <c r="D227" s="9">
        <f ca="1">'1ER PERIODO CONSTRUCCION DE LA '!B23</f>
        <v>28</v>
      </c>
      <c r="E227" s="9" t="str">
        <f ca="1">'1ER PERIODO CONSTRUCCION DE LA '!C23</f>
        <v>EVENTOS</v>
      </c>
      <c r="F227" s="9" t="str">
        <f ca="1">'1ER PERIODO CONSTRUCCION DE LA '!D23</f>
        <v>ASCENDENTE</v>
      </c>
      <c r="G227" s="9" t="str">
        <f ca="1">'1ER PERIODO CONSTRUCCION DE LA '!E23</f>
        <v>BITACORA OPERATIVA</v>
      </c>
      <c r="H227" s="9">
        <f ca="1">'1ER PERIODO CONSTRUCCION DE LA '!F23</f>
        <v>25</v>
      </c>
      <c r="I227" s="9">
        <f ca="1">'1ER PERIODO CONSTRUCCION DE LA '!G23</f>
        <v>0</v>
      </c>
      <c r="J227" s="9">
        <f ca="1">'1ER PERIODO CONSTRUCCION DE LA '!H23</f>
        <v>0</v>
      </c>
      <c r="K227" s="9">
        <f ca="1">'1ER PERIODO CONSTRUCCION DE LA '!I23</f>
        <v>0</v>
      </c>
      <c r="L227" s="9">
        <f ca="1">'1ER PERIODO CONSTRUCCION DE LA '!J23</f>
        <v>2</v>
      </c>
      <c r="M227" s="9">
        <f ca="1">'1ER PERIODO CONSTRUCCION DE LA '!K23</f>
        <v>1</v>
      </c>
      <c r="N227" s="9">
        <f ca="1">'1ER PERIODO CONSTRUCCION DE LA '!L23</f>
        <v>4</v>
      </c>
      <c r="O227" s="9">
        <f ca="1">'1ER PERIODO CONSTRUCCION DE LA '!M23</f>
        <v>0</v>
      </c>
      <c r="P227" s="9">
        <f ca="1">'1ER PERIODO CONSTRUCCION DE LA '!N23</f>
        <v>0</v>
      </c>
      <c r="Q227" s="9">
        <f ca="1">'1ER PERIODO CONSTRUCCION DE LA '!O23</f>
        <v>0</v>
      </c>
      <c r="R227" s="9">
        <f ca="1">'1ER PERIODO CONSTRUCCION DE LA '!P23</f>
        <v>0</v>
      </c>
      <c r="S227" s="9">
        <f ca="1">'1ER PERIODO CONSTRUCCION DE LA '!Q23</f>
        <v>0</v>
      </c>
      <c r="T227" s="9">
        <f ca="1">'1ER PERIODO CONSTRUCCION DE LA '!R23</f>
        <v>0</v>
      </c>
      <c r="U227" s="9">
        <f ca="1">'1ER PERIODO CONSTRUCCION DE LA '!S23</f>
        <v>7</v>
      </c>
    </row>
    <row r="228" spans="1:21" ht="39.75" customHeight="1">
      <c r="A228" s="30"/>
      <c r="B228" s="31"/>
      <c r="C228" s="9" t="s">
        <v>38</v>
      </c>
      <c r="D228" s="9">
        <f ca="1">'1ER PERIODO CONSTRUCCION DE LA '!B24</f>
        <v>4040</v>
      </c>
      <c r="E228" s="9" t="str">
        <f ca="1">'1ER PERIODO CONSTRUCCION DE LA '!C24</f>
        <v>PERSONAS</v>
      </c>
      <c r="F228" s="9" t="str">
        <f ca="1">'1ER PERIODO CONSTRUCCION DE LA '!D24</f>
        <v>ASCENDENTE</v>
      </c>
      <c r="G228" s="9" t="str">
        <f ca="1">'1ER PERIODO CONSTRUCCION DE LA '!E24</f>
        <v>BITACORA OPERATIVA</v>
      </c>
      <c r="H228" s="9">
        <f ca="1">'1ER PERIODO CONSTRUCCION DE LA '!F24</f>
        <v>25</v>
      </c>
      <c r="I228" s="9">
        <f ca="1">'1ER PERIODO CONSTRUCCION DE LA '!G24</f>
        <v>0</v>
      </c>
      <c r="J228" s="9">
        <f ca="1">'1ER PERIODO CONSTRUCCION DE LA '!H24</f>
        <v>0</v>
      </c>
      <c r="K228" s="9">
        <f ca="1">'1ER PERIODO CONSTRUCCION DE LA '!I24</f>
        <v>0</v>
      </c>
      <c r="L228" s="9">
        <f ca="1">'1ER PERIODO CONSTRUCCION DE LA '!J24</f>
        <v>300</v>
      </c>
      <c r="M228" s="9">
        <f ca="1">'1ER PERIODO CONSTRUCCION DE LA '!K24</f>
        <v>60</v>
      </c>
      <c r="N228" s="9">
        <f ca="1">'1ER PERIODO CONSTRUCCION DE LA '!L24</f>
        <v>650</v>
      </c>
      <c r="O228" s="9">
        <f ca="1">'1ER PERIODO CONSTRUCCION DE LA '!M24</f>
        <v>0</v>
      </c>
      <c r="P228" s="9">
        <f ca="1">'1ER PERIODO CONSTRUCCION DE LA '!N24</f>
        <v>0</v>
      </c>
      <c r="Q228" s="9">
        <f ca="1">'1ER PERIODO CONSTRUCCION DE LA '!O24</f>
        <v>0</v>
      </c>
      <c r="R228" s="9">
        <f ca="1">'1ER PERIODO CONSTRUCCION DE LA '!P24</f>
        <v>0</v>
      </c>
      <c r="S228" s="9">
        <f ca="1">'1ER PERIODO CONSTRUCCION DE LA '!Q24</f>
        <v>0</v>
      </c>
      <c r="T228" s="9">
        <f ca="1">'1ER PERIODO CONSTRUCCION DE LA '!R24</f>
        <v>0</v>
      </c>
      <c r="U228" s="9">
        <f ca="1">'1ER PERIODO CONSTRUCCION DE LA '!S24</f>
        <v>1010</v>
      </c>
    </row>
    <row r="229" spans="1:21" ht="39.75" customHeight="1">
      <c r="A229" s="30"/>
      <c r="B229" s="33" t="s">
        <v>265</v>
      </c>
      <c r="C229" s="9" t="s">
        <v>266</v>
      </c>
      <c r="D229" s="9">
        <f ca="1">'1ER PERIODO CONSTRUCCION DE LA '!B25</f>
        <v>24</v>
      </c>
      <c r="E229" s="9" t="str">
        <f ca="1">'1ER PERIODO CONSTRUCCION DE LA '!C25</f>
        <v>M2</v>
      </c>
      <c r="F229" s="9" t="str">
        <f ca="1">'1ER PERIODO CONSTRUCCION DE LA '!D25</f>
        <v>ASCENDENTE</v>
      </c>
      <c r="G229" s="9" t="str">
        <f ca="1">'1ER PERIODO CONSTRUCCION DE LA '!E25</f>
        <v>BITACORA OPERATIVA</v>
      </c>
      <c r="H229" s="9">
        <f ca="1">'1ER PERIODO CONSTRUCCION DE LA '!F25</f>
        <v>29.1666666666666</v>
      </c>
      <c r="I229" s="9">
        <f ca="1">'1ER PERIODO CONSTRUCCION DE LA '!G25</f>
        <v>0</v>
      </c>
      <c r="J229" s="9">
        <f ca="1">'1ER PERIODO CONSTRUCCION DE LA '!H25</f>
        <v>0</v>
      </c>
      <c r="K229" s="9">
        <f ca="1">'1ER PERIODO CONSTRUCCION DE LA '!I25</f>
        <v>0</v>
      </c>
      <c r="L229" s="9">
        <f ca="1">'1ER PERIODO CONSTRUCCION DE LA '!J25</f>
        <v>2</v>
      </c>
      <c r="M229" s="9">
        <f ca="1">'1ER PERIODO CONSTRUCCION DE LA '!K25</f>
        <v>3</v>
      </c>
      <c r="N229" s="9">
        <f ca="1">'1ER PERIODO CONSTRUCCION DE LA '!L25</f>
        <v>2</v>
      </c>
      <c r="O229" s="9">
        <f ca="1">'1ER PERIODO CONSTRUCCION DE LA '!M25</f>
        <v>0</v>
      </c>
      <c r="P229" s="9">
        <f ca="1">'1ER PERIODO CONSTRUCCION DE LA '!N25</f>
        <v>0</v>
      </c>
      <c r="Q229" s="9">
        <f ca="1">'1ER PERIODO CONSTRUCCION DE LA '!O25</f>
        <v>0</v>
      </c>
      <c r="R229" s="9">
        <f ca="1">'1ER PERIODO CONSTRUCCION DE LA '!P25</f>
        <v>0</v>
      </c>
      <c r="S229" s="9">
        <f ca="1">'1ER PERIODO CONSTRUCCION DE LA '!Q25</f>
        <v>0</v>
      </c>
      <c r="T229" s="9">
        <f ca="1">'1ER PERIODO CONSTRUCCION DE LA '!R25</f>
        <v>0</v>
      </c>
      <c r="U229" s="9">
        <f ca="1">'1ER PERIODO CONSTRUCCION DE LA '!S25</f>
        <v>7</v>
      </c>
    </row>
    <row r="230" spans="1:21" ht="39.75" customHeight="1">
      <c r="A230" s="30"/>
      <c r="B230" s="31"/>
      <c r="C230" s="9" t="s">
        <v>267</v>
      </c>
      <c r="D230" s="9">
        <f ca="1">'1ER PERIODO CONSTRUCCION DE LA '!B26</f>
        <v>24</v>
      </c>
      <c r="E230" s="9" t="str">
        <f ca="1">'1ER PERIODO CONSTRUCCION DE LA '!C26</f>
        <v>MURALES</v>
      </c>
      <c r="F230" s="9" t="str">
        <f ca="1">'1ER PERIODO CONSTRUCCION DE LA '!D26</f>
        <v>ASCENDENTE</v>
      </c>
      <c r="G230" s="9" t="str">
        <f ca="1">'1ER PERIODO CONSTRUCCION DE LA '!E26</f>
        <v>BITACORA OPERATIVA</v>
      </c>
      <c r="H230" s="9">
        <f ca="1">'1ER PERIODO CONSTRUCCION DE LA '!F26</f>
        <v>20.8333333333333</v>
      </c>
      <c r="I230" s="9">
        <f ca="1">'1ER PERIODO CONSTRUCCION DE LA '!G26</f>
        <v>0</v>
      </c>
      <c r="J230" s="9">
        <f ca="1">'1ER PERIODO CONSTRUCCION DE LA '!H26</f>
        <v>0</v>
      </c>
      <c r="K230" s="9">
        <f ca="1">'1ER PERIODO CONSTRUCCION DE LA '!I26</f>
        <v>0</v>
      </c>
      <c r="L230" s="9">
        <f ca="1">'1ER PERIODO CONSTRUCCION DE LA '!J26</f>
        <v>1</v>
      </c>
      <c r="M230" s="9">
        <f ca="1">'1ER PERIODO CONSTRUCCION DE LA '!K26</f>
        <v>2</v>
      </c>
      <c r="N230" s="9">
        <f ca="1">'1ER PERIODO CONSTRUCCION DE LA '!L26</f>
        <v>2</v>
      </c>
      <c r="O230" s="9">
        <f ca="1">'1ER PERIODO CONSTRUCCION DE LA '!M26</f>
        <v>0</v>
      </c>
      <c r="P230" s="9">
        <f ca="1">'1ER PERIODO CONSTRUCCION DE LA '!N26</f>
        <v>0</v>
      </c>
      <c r="Q230" s="9">
        <f ca="1">'1ER PERIODO CONSTRUCCION DE LA '!O26</f>
        <v>0</v>
      </c>
      <c r="R230" s="9">
        <f ca="1">'1ER PERIODO CONSTRUCCION DE LA '!P26</f>
        <v>0</v>
      </c>
      <c r="S230" s="9">
        <f ca="1">'1ER PERIODO CONSTRUCCION DE LA '!Q26</f>
        <v>0</v>
      </c>
      <c r="T230" s="9">
        <f ca="1">'1ER PERIODO CONSTRUCCION DE LA '!R26</f>
        <v>0</v>
      </c>
      <c r="U230" s="9">
        <f ca="1">'1ER PERIODO CONSTRUCCION DE LA '!S26</f>
        <v>5</v>
      </c>
    </row>
    <row r="231" spans="1:21" ht="39.75" customHeight="1">
      <c r="A231" s="30"/>
      <c r="B231" s="33" t="s">
        <v>268</v>
      </c>
      <c r="C231" s="9" t="s">
        <v>269</v>
      </c>
      <c r="D231" s="9">
        <f ca="1">'1ER PERIODO CONSTRUCCION DE LA '!B27</f>
        <v>23</v>
      </c>
      <c r="E231" s="9" t="str">
        <f ca="1">'1ER PERIODO CONSTRUCCION DE LA '!C27</f>
        <v>TALLERES</v>
      </c>
      <c r="F231" s="9" t="str">
        <f ca="1">'1ER PERIODO CONSTRUCCION DE LA '!D27</f>
        <v>ASCENDENTE</v>
      </c>
      <c r="G231" s="9" t="str">
        <f ca="1">'1ER PERIODO CONSTRUCCION DE LA '!E27</f>
        <v>BITACORA OPERATIVA</v>
      </c>
      <c r="H231" s="9">
        <f ca="1">'1ER PERIODO CONSTRUCCION DE LA '!F27</f>
        <v>282.60869565217303</v>
      </c>
      <c r="I231" s="9">
        <f ca="1">'1ER PERIODO CONSTRUCCION DE LA '!G27</f>
        <v>0</v>
      </c>
      <c r="J231" s="9">
        <f ca="1">'1ER PERIODO CONSTRUCCION DE LA '!H27</f>
        <v>0</v>
      </c>
      <c r="K231" s="9">
        <f ca="1">'1ER PERIODO CONSTRUCCION DE LA '!I27</f>
        <v>0</v>
      </c>
      <c r="L231" s="9">
        <f ca="1">'1ER PERIODO CONSTRUCCION DE LA '!J27</f>
        <v>19</v>
      </c>
      <c r="M231" s="9">
        <f ca="1">'1ER PERIODO CONSTRUCCION DE LA '!K27</f>
        <v>23</v>
      </c>
      <c r="N231" s="9">
        <f ca="1">'1ER PERIODO CONSTRUCCION DE LA '!L27</f>
        <v>23</v>
      </c>
      <c r="O231" s="9">
        <f ca="1">'1ER PERIODO CONSTRUCCION DE LA '!M27</f>
        <v>0</v>
      </c>
      <c r="P231" s="9">
        <f ca="1">'1ER PERIODO CONSTRUCCION DE LA '!N27</f>
        <v>0</v>
      </c>
      <c r="Q231" s="9">
        <f ca="1">'1ER PERIODO CONSTRUCCION DE LA '!O27</f>
        <v>0</v>
      </c>
      <c r="R231" s="9">
        <f ca="1">'1ER PERIODO CONSTRUCCION DE LA '!P27</f>
        <v>0</v>
      </c>
      <c r="S231" s="9">
        <f ca="1">'1ER PERIODO CONSTRUCCION DE LA '!Q27</f>
        <v>0</v>
      </c>
      <c r="T231" s="9">
        <f ca="1">'1ER PERIODO CONSTRUCCION DE LA '!R27</f>
        <v>0</v>
      </c>
      <c r="U231" s="9">
        <f ca="1">'1ER PERIODO CONSTRUCCION DE LA '!S27</f>
        <v>65</v>
      </c>
    </row>
    <row r="232" spans="1:21" ht="39.75" customHeight="1">
      <c r="A232" s="30"/>
      <c r="B232" s="31"/>
      <c r="C232" s="9" t="s">
        <v>38</v>
      </c>
      <c r="D232" s="9">
        <f ca="1">'1ER PERIODO CONSTRUCCION DE LA '!B28</f>
        <v>4260</v>
      </c>
      <c r="E232" s="9" t="str">
        <f ca="1">'1ER PERIODO CONSTRUCCION DE LA '!C28</f>
        <v>PERSONAS</v>
      </c>
      <c r="F232" s="9" t="str">
        <f ca="1">'1ER PERIODO CONSTRUCCION DE LA '!D28</f>
        <v>ASCENDENTE</v>
      </c>
      <c r="G232" s="9" t="str">
        <f ca="1">'1ER PERIODO CONSTRUCCION DE LA '!E28</f>
        <v>BITACORA OPERATIVA</v>
      </c>
      <c r="H232" s="9">
        <f ca="1">'1ER PERIODO CONSTRUCCION DE LA '!F28</f>
        <v>25</v>
      </c>
      <c r="I232" s="9">
        <f ca="1">'1ER PERIODO CONSTRUCCION DE LA '!G28</f>
        <v>0</v>
      </c>
      <c r="J232" s="9">
        <f ca="1">'1ER PERIODO CONSTRUCCION DE LA '!H28</f>
        <v>0</v>
      </c>
      <c r="K232" s="9">
        <f ca="1">'1ER PERIODO CONSTRUCCION DE LA '!I28</f>
        <v>0</v>
      </c>
      <c r="L232" s="9">
        <f ca="1">'1ER PERIODO CONSTRUCCION DE LA '!J28</f>
        <v>327</v>
      </c>
      <c r="M232" s="9">
        <f ca="1">'1ER PERIODO CONSTRUCCION DE LA '!K28</f>
        <v>371</v>
      </c>
      <c r="N232" s="9">
        <f ca="1">'1ER PERIODO CONSTRUCCION DE LA '!L28</f>
        <v>367</v>
      </c>
      <c r="O232" s="9">
        <f ca="1">'1ER PERIODO CONSTRUCCION DE LA '!M28</f>
        <v>0</v>
      </c>
      <c r="P232" s="9">
        <f ca="1">'1ER PERIODO CONSTRUCCION DE LA '!N28</f>
        <v>0</v>
      </c>
      <c r="Q232" s="9">
        <f ca="1">'1ER PERIODO CONSTRUCCION DE LA '!O28</f>
        <v>0</v>
      </c>
      <c r="R232" s="9">
        <f ca="1">'1ER PERIODO CONSTRUCCION DE LA '!P28</f>
        <v>0</v>
      </c>
      <c r="S232" s="9">
        <f ca="1">'1ER PERIODO CONSTRUCCION DE LA '!Q28</f>
        <v>0</v>
      </c>
      <c r="T232" s="9">
        <f ca="1">'1ER PERIODO CONSTRUCCION DE LA '!R28</f>
        <v>0</v>
      </c>
      <c r="U232" s="9">
        <f ca="1">'1ER PERIODO CONSTRUCCION DE LA '!S28</f>
        <v>1065</v>
      </c>
    </row>
    <row r="233" spans="1:21" ht="39.75" customHeight="1">
      <c r="A233" s="30"/>
      <c r="B233" s="33" t="s">
        <v>270</v>
      </c>
      <c r="C233" s="9" t="s">
        <v>269</v>
      </c>
      <c r="D233" s="9">
        <f ca="1">'1ER PERIODO CONSTRUCCION DE LA '!B29</f>
        <v>10</v>
      </c>
      <c r="E233" s="9" t="str">
        <f ca="1">'1ER PERIODO CONSTRUCCION DE LA '!C29</f>
        <v>TALLERES</v>
      </c>
      <c r="F233" s="9" t="str">
        <f ca="1">'1ER PERIODO CONSTRUCCION DE LA '!D29</f>
        <v>ASCENDENTE</v>
      </c>
      <c r="G233" s="9" t="str">
        <f ca="1">'1ER PERIODO CONSTRUCCION DE LA '!E29</f>
        <v>BITACORA OPERATIVA</v>
      </c>
      <c r="H233" s="9">
        <f ca="1">'1ER PERIODO CONSTRUCCION DE LA '!F29</f>
        <v>300</v>
      </c>
      <c r="I233" s="9">
        <f ca="1">'1ER PERIODO CONSTRUCCION DE LA '!G29</f>
        <v>0</v>
      </c>
      <c r="J233" s="9">
        <f ca="1">'1ER PERIODO CONSTRUCCION DE LA '!H29</f>
        <v>0</v>
      </c>
      <c r="K233" s="9">
        <f ca="1">'1ER PERIODO CONSTRUCCION DE LA '!I29</f>
        <v>0</v>
      </c>
      <c r="L233" s="9">
        <f ca="1">'1ER PERIODO CONSTRUCCION DE LA '!J29</f>
        <v>10</v>
      </c>
      <c r="M233" s="9">
        <f ca="1">'1ER PERIODO CONSTRUCCION DE LA '!K29</f>
        <v>10</v>
      </c>
      <c r="N233" s="9">
        <f ca="1">'1ER PERIODO CONSTRUCCION DE LA '!L29</f>
        <v>10</v>
      </c>
      <c r="O233" s="9">
        <f ca="1">'1ER PERIODO CONSTRUCCION DE LA '!M29</f>
        <v>0</v>
      </c>
      <c r="P233" s="9">
        <f ca="1">'1ER PERIODO CONSTRUCCION DE LA '!N29</f>
        <v>0</v>
      </c>
      <c r="Q233" s="9">
        <f ca="1">'1ER PERIODO CONSTRUCCION DE LA '!O29</f>
        <v>0</v>
      </c>
      <c r="R233" s="9">
        <f ca="1">'1ER PERIODO CONSTRUCCION DE LA '!P29</f>
        <v>0</v>
      </c>
      <c r="S233" s="9">
        <f ca="1">'1ER PERIODO CONSTRUCCION DE LA '!Q29</f>
        <v>0</v>
      </c>
      <c r="T233" s="9">
        <f ca="1">'1ER PERIODO CONSTRUCCION DE LA '!R29</f>
        <v>0</v>
      </c>
      <c r="U233" s="9">
        <f ca="1">'1ER PERIODO CONSTRUCCION DE LA '!S29</f>
        <v>30</v>
      </c>
    </row>
    <row r="234" spans="1:21" ht="39.75" customHeight="1">
      <c r="A234" s="31"/>
      <c r="B234" s="31"/>
      <c r="C234" s="9" t="s">
        <v>38</v>
      </c>
      <c r="D234" s="9">
        <f ca="1">'1ER PERIODO CONSTRUCCION DE LA '!B30</f>
        <v>1620</v>
      </c>
      <c r="E234" s="9" t="str">
        <f ca="1">'1ER PERIODO CONSTRUCCION DE LA '!C30</f>
        <v>PERSONAS</v>
      </c>
      <c r="F234" s="9" t="str">
        <f ca="1">'1ER PERIODO CONSTRUCCION DE LA '!D30</f>
        <v>ASCENDENTE</v>
      </c>
      <c r="G234" s="9" t="str">
        <f ca="1">'1ER PERIODO CONSTRUCCION DE LA '!E30</f>
        <v>BITACORA OPERATIVA</v>
      </c>
      <c r="H234" s="9">
        <f ca="1">'1ER PERIODO CONSTRUCCION DE LA '!F30</f>
        <v>25</v>
      </c>
      <c r="I234" s="9">
        <f ca="1">'1ER PERIODO CONSTRUCCION DE LA '!G30</f>
        <v>0</v>
      </c>
      <c r="J234" s="9">
        <f ca="1">'1ER PERIODO CONSTRUCCION DE LA '!H30</f>
        <v>0</v>
      </c>
      <c r="K234" s="9">
        <f ca="1">'1ER PERIODO CONSTRUCCION DE LA '!I30</f>
        <v>0</v>
      </c>
      <c r="L234" s="9">
        <f ca="1">'1ER PERIODO CONSTRUCCION DE LA '!J30</f>
        <v>87</v>
      </c>
      <c r="M234" s="9">
        <f ca="1">'1ER PERIODO CONSTRUCCION DE LA '!K30</f>
        <v>151</v>
      </c>
      <c r="N234" s="9">
        <f ca="1">'1ER PERIODO CONSTRUCCION DE LA '!L30</f>
        <v>167</v>
      </c>
      <c r="O234" s="9">
        <f ca="1">'1ER PERIODO CONSTRUCCION DE LA '!M30</f>
        <v>0</v>
      </c>
      <c r="P234" s="9">
        <f ca="1">'1ER PERIODO CONSTRUCCION DE LA '!N30</f>
        <v>0</v>
      </c>
      <c r="Q234" s="9">
        <f ca="1">'1ER PERIODO CONSTRUCCION DE LA '!O30</f>
        <v>0</v>
      </c>
      <c r="R234" s="9">
        <f ca="1">'1ER PERIODO CONSTRUCCION DE LA '!P30</f>
        <v>0</v>
      </c>
      <c r="S234" s="9">
        <f ca="1">'1ER PERIODO CONSTRUCCION DE LA '!Q30</f>
        <v>0</v>
      </c>
      <c r="T234" s="9">
        <f ca="1">'1ER PERIODO CONSTRUCCION DE LA '!R30</f>
        <v>0</v>
      </c>
      <c r="U234" s="9">
        <f ca="1">'1ER PERIODO CONSTRUCCION DE LA '!S30</f>
        <v>405</v>
      </c>
    </row>
    <row r="235" spans="1:21" ht="39.75" customHeight="1">
      <c r="A235" s="32" t="s">
        <v>271</v>
      </c>
      <c r="B235" s="32" t="s">
        <v>272</v>
      </c>
      <c r="C235" s="5" t="s">
        <v>273</v>
      </c>
      <c r="D235" s="9">
        <f ca="1">'1ERA SERVICIOS GENERALES'!B2</f>
        <v>1</v>
      </c>
      <c r="E235" s="9">
        <f>'1ERA SERVICIOS GENERALES'!C2</f>
        <v>0</v>
      </c>
      <c r="F235" s="9" t="str">
        <f ca="1">'1ERA SERVICIOS GENERALES'!D2</f>
        <v>ASCENDENTE</v>
      </c>
      <c r="G235" s="9" t="str">
        <f ca="1">'1ERA SERVICIOS GENERALES'!E2</f>
        <v>SESIONES PUBLICAS</v>
      </c>
      <c r="H235" s="9">
        <f ca="1">'1ERA SERVICIOS GENERALES'!F2</f>
        <v>0</v>
      </c>
      <c r="I235" s="9">
        <f ca="1">'1ERA SERVICIOS GENERALES'!G2</f>
        <v>0</v>
      </c>
      <c r="J235" s="9">
        <f ca="1">'1ERA SERVICIOS GENERALES'!H2</f>
        <v>0</v>
      </c>
      <c r="K235" s="9">
        <f ca="1">'1ERA SERVICIOS GENERALES'!I2</f>
        <v>0</v>
      </c>
      <c r="L235" s="9">
        <f ca="1">'1ERA SERVICIOS GENERALES'!J2</f>
        <v>8</v>
      </c>
      <c r="M235" s="9">
        <f ca="1">'1ERA SERVICIOS GENERALES'!K2</f>
        <v>9</v>
      </c>
      <c r="N235" s="9">
        <f ca="1">'1ERA SERVICIOS GENERALES'!L2</f>
        <v>10</v>
      </c>
      <c r="O235" s="9">
        <f ca="1">'1ERA SERVICIOS GENERALES'!M2</f>
        <v>0</v>
      </c>
      <c r="P235" s="9">
        <f ca="1">'1ERA SERVICIOS GENERALES'!N2</f>
        <v>0</v>
      </c>
      <c r="Q235" s="9">
        <f ca="1">'1ERA SERVICIOS GENERALES'!O2</f>
        <v>0</v>
      </c>
      <c r="R235" s="9">
        <f ca="1">'1ERA SERVICIOS GENERALES'!P2</f>
        <v>0</v>
      </c>
      <c r="S235" s="9">
        <f ca="1">'1ERA SERVICIOS GENERALES'!Q2</f>
        <v>0</v>
      </c>
      <c r="T235" s="9">
        <f ca="1">'1ERA SERVICIOS GENERALES'!R2</f>
        <v>0</v>
      </c>
      <c r="U235" s="9">
        <f ca="1">'1ERA SERVICIOS GENERALES'!S2</f>
        <v>27</v>
      </c>
    </row>
    <row r="236" spans="1:21" ht="39.75" customHeight="1">
      <c r="A236" s="30"/>
      <c r="B236" s="30"/>
      <c r="C236" s="5" t="s">
        <v>274</v>
      </c>
      <c r="D236" s="9">
        <f ca="1">'1ERA SERVICIOS GENERALES'!B3</f>
        <v>1</v>
      </c>
      <c r="E236" s="9">
        <f>'1ERA SERVICIOS GENERALES'!C3</f>
        <v>0</v>
      </c>
      <c r="F236" s="9" t="str">
        <f ca="1">'1ERA SERVICIOS GENERALES'!D3</f>
        <v>ASCENDENTE</v>
      </c>
      <c r="G236" s="9" t="str">
        <f ca="1">'1ERA SERVICIOS GENERALES'!E3</f>
        <v>BITACORA DE ATENCION</v>
      </c>
      <c r="H236" s="9">
        <f ca="1">'1ERA SERVICIOS GENERALES'!F3</f>
        <v>0</v>
      </c>
      <c r="I236" s="9">
        <f ca="1">'1ERA SERVICIOS GENERALES'!G3</f>
        <v>0</v>
      </c>
      <c r="J236" s="9">
        <f ca="1">'1ERA SERVICIOS GENERALES'!H3</f>
        <v>0</v>
      </c>
      <c r="K236" s="9">
        <f ca="1">'1ERA SERVICIOS GENERALES'!I3</f>
        <v>0</v>
      </c>
      <c r="L236" s="9">
        <f ca="1">'1ERA SERVICIOS GENERALES'!J3</f>
        <v>71</v>
      </c>
      <c r="M236" s="9">
        <f ca="1">'1ERA SERVICIOS GENERALES'!K3</f>
        <v>70</v>
      </c>
      <c r="N236" s="9">
        <f ca="1">'1ERA SERVICIOS GENERALES'!L3</f>
        <v>0</v>
      </c>
      <c r="O236" s="9">
        <f ca="1">'1ERA SERVICIOS GENERALES'!M3</f>
        <v>0</v>
      </c>
      <c r="P236" s="9">
        <f ca="1">'1ERA SERVICIOS GENERALES'!N3</f>
        <v>0</v>
      </c>
      <c r="Q236" s="9">
        <f ca="1">'1ERA SERVICIOS GENERALES'!O3</f>
        <v>0</v>
      </c>
      <c r="R236" s="9">
        <f ca="1">'1ERA SERVICIOS GENERALES'!P3</f>
        <v>0</v>
      </c>
      <c r="S236" s="9">
        <f ca="1">'1ERA SERVICIOS GENERALES'!Q3</f>
        <v>0</v>
      </c>
      <c r="T236" s="9">
        <f ca="1">'1ERA SERVICIOS GENERALES'!R3</f>
        <v>0</v>
      </c>
      <c r="U236" s="9">
        <f ca="1">'1ERA SERVICIOS GENERALES'!S3</f>
        <v>141</v>
      </c>
    </row>
    <row r="237" spans="1:21" ht="39.75" customHeight="1">
      <c r="A237" s="30"/>
      <c r="B237" s="30"/>
      <c r="C237" s="5" t="s">
        <v>275</v>
      </c>
      <c r="D237" s="9">
        <f ca="1">'1ERA SERVICIOS GENERALES'!B4</f>
        <v>1</v>
      </c>
      <c r="E237" s="9">
        <f>'1ERA SERVICIOS GENERALES'!C4</f>
        <v>0</v>
      </c>
      <c r="F237" s="9" t="str">
        <f ca="1">'1ERA SERVICIOS GENERALES'!D4</f>
        <v>ASCENDENTE</v>
      </c>
      <c r="G237" s="9" t="str">
        <f ca="1">'1ERA SERVICIOS GENERALES'!E4</f>
        <v>BITACORA DE ATENCION</v>
      </c>
      <c r="H237" s="9">
        <f ca="1">'1ERA SERVICIOS GENERALES'!F4</f>
        <v>0</v>
      </c>
      <c r="I237" s="9">
        <f ca="1">'1ERA SERVICIOS GENERALES'!G4</f>
        <v>0</v>
      </c>
      <c r="J237" s="9">
        <f ca="1">'1ERA SERVICIOS GENERALES'!H4</f>
        <v>0</v>
      </c>
      <c r="K237" s="9">
        <f ca="1">'1ERA SERVICIOS GENERALES'!I4</f>
        <v>0</v>
      </c>
      <c r="L237" s="9">
        <f ca="1">'1ERA SERVICIOS GENERALES'!J4</f>
        <v>5</v>
      </c>
      <c r="M237" s="9">
        <f ca="1">'1ERA SERVICIOS GENERALES'!K4</f>
        <v>3</v>
      </c>
      <c r="N237" s="9">
        <f ca="1">'1ERA SERVICIOS GENERALES'!L4</f>
        <v>0</v>
      </c>
      <c r="O237" s="9">
        <f ca="1">'1ERA SERVICIOS GENERALES'!M4</f>
        <v>0</v>
      </c>
      <c r="P237" s="9">
        <f ca="1">'1ERA SERVICIOS GENERALES'!N4</f>
        <v>0</v>
      </c>
      <c r="Q237" s="9">
        <f ca="1">'1ERA SERVICIOS GENERALES'!O4</f>
        <v>0</v>
      </c>
      <c r="R237" s="9">
        <f ca="1">'1ERA SERVICIOS GENERALES'!P4</f>
        <v>0</v>
      </c>
      <c r="S237" s="9">
        <f ca="1">'1ERA SERVICIOS GENERALES'!Q4</f>
        <v>0</v>
      </c>
      <c r="T237" s="9">
        <f ca="1">'1ERA SERVICIOS GENERALES'!R4</f>
        <v>0</v>
      </c>
      <c r="U237" s="9">
        <f ca="1">'1ERA SERVICIOS GENERALES'!S4</f>
        <v>8</v>
      </c>
    </row>
    <row r="238" spans="1:21" ht="39.75" customHeight="1">
      <c r="A238" s="30"/>
      <c r="B238" s="30"/>
      <c r="C238" s="5" t="s">
        <v>276</v>
      </c>
      <c r="D238" s="9">
        <f ca="1">'1ERA SERVICIOS GENERALES'!B5</f>
        <v>1</v>
      </c>
      <c r="E238" s="9">
        <f>'1ERA SERVICIOS GENERALES'!C5</f>
        <v>0</v>
      </c>
      <c r="F238" s="9" t="str">
        <f ca="1">'1ERA SERVICIOS GENERALES'!D5</f>
        <v>ASCENDENTE</v>
      </c>
      <c r="G238" s="9" t="str">
        <f ca="1">'1ERA SERVICIOS GENERALES'!E5</f>
        <v>BITACORA OPERATIVA</v>
      </c>
      <c r="H238" s="9">
        <f ca="1">'1ERA SERVICIOS GENERALES'!F5</f>
        <v>0</v>
      </c>
      <c r="I238" s="9">
        <f ca="1">'1ERA SERVICIOS GENERALES'!G5</f>
        <v>0</v>
      </c>
      <c r="J238" s="9">
        <f ca="1">'1ERA SERVICIOS GENERALES'!H5</f>
        <v>0</v>
      </c>
      <c r="K238" s="9">
        <f ca="1">'1ERA SERVICIOS GENERALES'!I5</f>
        <v>0</v>
      </c>
      <c r="L238" s="9">
        <f ca="1">'1ERA SERVICIOS GENERALES'!J5</f>
        <v>11</v>
      </c>
      <c r="M238" s="9">
        <f ca="1">'1ERA SERVICIOS GENERALES'!K5</f>
        <v>13</v>
      </c>
      <c r="N238" s="9">
        <f ca="1">'1ERA SERVICIOS GENERALES'!L5</f>
        <v>8</v>
      </c>
      <c r="O238" s="9">
        <f ca="1">'1ERA SERVICIOS GENERALES'!M5</f>
        <v>0</v>
      </c>
      <c r="P238" s="9">
        <f ca="1">'1ERA SERVICIOS GENERALES'!N5</f>
        <v>0</v>
      </c>
      <c r="Q238" s="9">
        <f ca="1">'1ERA SERVICIOS GENERALES'!O5</f>
        <v>0</v>
      </c>
      <c r="R238" s="9">
        <f ca="1">'1ERA SERVICIOS GENERALES'!P5</f>
        <v>0</v>
      </c>
      <c r="S238" s="9">
        <f ca="1">'1ERA SERVICIOS GENERALES'!Q5</f>
        <v>0</v>
      </c>
      <c r="T238" s="9">
        <f ca="1">'1ERA SERVICIOS GENERALES'!R5</f>
        <v>0</v>
      </c>
      <c r="U238" s="9">
        <f ca="1">'1ERA SERVICIOS GENERALES'!S5</f>
        <v>32</v>
      </c>
    </row>
    <row r="239" spans="1:21" ht="39.75" customHeight="1">
      <c r="A239" s="30"/>
      <c r="B239" s="30"/>
      <c r="C239" s="5" t="s">
        <v>277</v>
      </c>
      <c r="D239" s="9">
        <f ca="1">'1ERA SERVICIOS GENERALES'!B6</f>
        <v>1</v>
      </c>
      <c r="E239" s="9">
        <f>'1ERA SERVICIOS GENERALES'!C6</f>
        <v>0</v>
      </c>
      <c r="F239" s="9" t="str">
        <f ca="1">'1ERA SERVICIOS GENERALES'!D6</f>
        <v>ASCENDENTE</v>
      </c>
      <c r="G239" s="9" t="str">
        <f ca="1">'1ERA SERVICIOS GENERALES'!E6</f>
        <v>BITACORA OPERATIVA</v>
      </c>
      <c r="H239" s="9">
        <f ca="1">'1ERA SERVICIOS GENERALES'!F6</f>
        <v>0</v>
      </c>
      <c r="I239" s="9">
        <f ca="1">'1ERA SERVICIOS GENERALES'!G6</f>
        <v>0</v>
      </c>
      <c r="J239" s="9">
        <f ca="1">'1ERA SERVICIOS GENERALES'!H6</f>
        <v>0</v>
      </c>
      <c r="K239" s="9">
        <f ca="1">'1ERA SERVICIOS GENERALES'!I6</f>
        <v>0</v>
      </c>
      <c r="L239" s="9">
        <f ca="1">'1ERA SERVICIOS GENERALES'!J6</f>
        <v>15</v>
      </c>
      <c r="M239" s="9">
        <f ca="1">'1ERA SERVICIOS GENERALES'!K6</f>
        <v>2</v>
      </c>
      <c r="N239" s="9">
        <f ca="1">'1ERA SERVICIOS GENERALES'!L6</f>
        <v>8</v>
      </c>
      <c r="O239" s="9">
        <f ca="1">'1ERA SERVICIOS GENERALES'!M6</f>
        <v>0</v>
      </c>
      <c r="P239" s="9">
        <f ca="1">'1ERA SERVICIOS GENERALES'!N6</f>
        <v>0</v>
      </c>
      <c r="Q239" s="9">
        <f ca="1">'1ERA SERVICIOS GENERALES'!O6</f>
        <v>0</v>
      </c>
      <c r="R239" s="9">
        <f ca="1">'1ERA SERVICIOS GENERALES'!P6</f>
        <v>0</v>
      </c>
      <c r="S239" s="9">
        <f ca="1">'1ERA SERVICIOS GENERALES'!Q6</f>
        <v>0</v>
      </c>
      <c r="T239" s="9">
        <f ca="1">'1ERA SERVICIOS GENERALES'!R6</f>
        <v>0</v>
      </c>
      <c r="U239" s="9">
        <f ca="1">'1ERA SERVICIOS GENERALES'!S6</f>
        <v>25</v>
      </c>
    </row>
    <row r="240" spans="1:21" ht="39.75" customHeight="1">
      <c r="A240" s="30"/>
      <c r="B240" s="30"/>
      <c r="C240" s="5" t="s">
        <v>278</v>
      </c>
      <c r="D240" s="9">
        <f ca="1">'1ERA SERVICIOS GENERALES'!B7</f>
        <v>1</v>
      </c>
      <c r="E240" s="9">
        <f>'1ERA SERVICIOS GENERALES'!C7</f>
        <v>0</v>
      </c>
      <c r="F240" s="9" t="str">
        <f ca="1">'1ERA SERVICIOS GENERALES'!D7</f>
        <v>ASCENDENTE</v>
      </c>
      <c r="G240" s="9" t="str">
        <f ca="1">'1ERA SERVICIOS GENERALES'!E7</f>
        <v>BITACORA OPERATIVA</v>
      </c>
      <c r="H240" s="9">
        <f ca="1">'1ERA SERVICIOS GENERALES'!F7</f>
        <v>0</v>
      </c>
      <c r="I240" s="9">
        <f ca="1">'1ERA SERVICIOS GENERALES'!G7</f>
        <v>0</v>
      </c>
      <c r="J240" s="9">
        <f ca="1">'1ERA SERVICIOS GENERALES'!H7</f>
        <v>0</v>
      </c>
      <c r="K240" s="9">
        <f ca="1">'1ERA SERVICIOS GENERALES'!I7</f>
        <v>0</v>
      </c>
      <c r="L240" s="9">
        <f ca="1">'1ERA SERVICIOS GENERALES'!J7</f>
        <v>16</v>
      </c>
      <c r="M240" s="9">
        <f ca="1">'1ERA SERVICIOS GENERALES'!K7</f>
        <v>10</v>
      </c>
      <c r="N240" s="9">
        <f ca="1">'1ERA SERVICIOS GENERALES'!L7</f>
        <v>14</v>
      </c>
      <c r="O240" s="9">
        <f ca="1">'1ERA SERVICIOS GENERALES'!M7</f>
        <v>0</v>
      </c>
      <c r="P240" s="9">
        <f ca="1">'1ERA SERVICIOS GENERALES'!N7</f>
        <v>0</v>
      </c>
      <c r="Q240" s="9">
        <f ca="1">'1ERA SERVICIOS GENERALES'!O7</f>
        <v>0</v>
      </c>
      <c r="R240" s="9">
        <f ca="1">'1ERA SERVICIOS GENERALES'!P7</f>
        <v>0</v>
      </c>
      <c r="S240" s="9">
        <f ca="1">'1ERA SERVICIOS GENERALES'!Q7</f>
        <v>0</v>
      </c>
      <c r="T240" s="9">
        <f ca="1">'1ERA SERVICIOS GENERALES'!R7</f>
        <v>0</v>
      </c>
      <c r="U240" s="9">
        <f ca="1">'1ERA SERVICIOS GENERALES'!S7</f>
        <v>40</v>
      </c>
    </row>
    <row r="241" spans="1:21" ht="39.75" customHeight="1">
      <c r="A241" s="30"/>
      <c r="B241" s="30"/>
      <c r="C241" s="5" t="s">
        <v>279</v>
      </c>
      <c r="D241" s="9">
        <f ca="1">'1ERA SERVICIOS GENERALES'!B8</f>
        <v>1</v>
      </c>
      <c r="E241" s="9">
        <f>'1ERA SERVICIOS GENERALES'!C8</f>
        <v>0</v>
      </c>
      <c r="F241" s="9" t="str">
        <f ca="1">'1ERA SERVICIOS GENERALES'!D8</f>
        <v>ASCENDENTE</v>
      </c>
      <c r="G241" s="9" t="str">
        <f ca="1">'1ERA SERVICIOS GENERALES'!E8</f>
        <v>BITACORA OPERATIVA</v>
      </c>
      <c r="H241" s="9">
        <f ca="1">'1ERA SERVICIOS GENERALES'!F8</f>
        <v>0</v>
      </c>
      <c r="I241" s="9">
        <f ca="1">'1ERA SERVICIOS GENERALES'!G8</f>
        <v>0</v>
      </c>
      <c r="J241" s="9">
        <f ca="1">'1ERA SERVICIOS GENERALES'!H8</f>
        <v>0</v>
      </c>
      <c r="K241" s="9">
        <f ca="1">'1ERA SERVICIOS GENERALES'!I8</f>
        <v>0</v>
      </c>
      <c r="L241" s="9">
        <f ca="1">'1ERA SERVICIOS GENERALES'!J8</f>
        <v>14</v>
      </c>
      <c r="M241" s="9">
        <f ca="1">'1ERA SERVICIOS GENERALES'!K8</f>
        <v>15</v>
      </c>
      <c r="N241" s="9">
        <f ca="1">'1ERA SERVICIOS GENERALES'!L8</f>
        <v>4</v>
      </c>
      <c r="O241" s="9">
        <f ca="1">'1ERA SERVICIOS GENERALES'!M8</f>
        <v>0</v>
      </c>
      <c r="P241" s="9">
        <f ca="1">'1ERA SERVICIOS GENERALES'!N8</f>
        <v>0</v>
      </c>
      <c r="Q241" s="9">
        <f ca="1">'1ERA SERVICIOS GENERALES'!O8</f>
        <v>0</v>
      </c>
      <c r="R241" s="9">
        <f ca="1">'1ERA SERVICIOS GENERALES'!P8</f>
        <v>0</v>
      </c>
      <c r="S241" s="9">
        <f ca="1">'1ERA SERVICIOS GENERALES'!Q8</f>
        <v>0</v>
      </c>
      <c r="T241" s="9">
        <f ca="1">'1ERA SERVICIOS GENERALES'!R8</f>
        <v>0</v>
      </c>
      <c r="U241" s="9">
        <f ca="1">'1ERA SERVICIOS GENERALES'!S8</f>
        <v>33</v>
      </c>
    </row>
    <row r="242" spans="1:21" ht="39.75" customHeight="1">
      <c r="A242" s="30"/>
      <c r="B242" s="30"/>
      <c r="C242" s="5" t="s">
        <v>280</v>
      </c>
      <c r="D242" s="9">
        <f ca="1">'1ERA SERVICIOS GENERALES'!B9</f>
        <v>1</v>
      </c>
      <c r="E242" s="9">
        <f>'1ERA SERVICIOS GENERALES'!C9</f>
        <v>0</v>
      </c>
      <c r="F242" s="9" t="str">
        <f ca="1">'1ERA SERVICIOS GENERALES'!D9</f>
        <v>ASCENDENTE</v>
      </c>
      <c r="G242" s="9" t="str">
        <f ca="1">'1ERA SERVICIOS GENERALES'!E9</f>
        <v>BITACORA OPERATIVA</v>
      </c>
      <c r="H242" s="9">
        <f ca="1">'1ERA SERVICIOS GENERALES'!F9</f>
        <v>0</v>
      </c>
      <c r="I242" s="9">
        <f ca="1">'1ERA SERVICIOS GENERALES'!G9</f>
        <v>0</v>
      </c>
      <c r="J242" s="9">
        <f ca="1">'1ERA SERVICIOS GENERALES'!H9</f>
        <v>0</v>
      </c>
      <c r="K242" s="9">
        <f ca="1">'1ERA SERVICIOS GENERALES'!I9</f>
        <v>0</v>
      </c>
      <c r="L242" s="9">
        <f ca="1">'1ERA SERVICIOS GENERALES'!J9</f>
        <v>23</v>
      </c>
      <c r="M242" s="9">
        <f ca="1">'1ERA SERVICIOS GENERALES'!K9</f>
        <v>34</v>
      </c>
      <c r="N242" s="9">
        <f ca="1">'1ERA SERVICIOS GENERALES'!L9</f>
        <v>30</v>
      </c>
      <c r="O242" s="9">
        <f ca="1">'1ERA SERVICIOS GENERALES'!M9</f>
        <v>0</v>
      </c>
      <c r="P242" s="9">
        <f ca="1">'1ERA SERVICIOS GENERALES'!N9</f>
        <v>0</v>
      </c>
      <c r="Q242" s="9">
        <f ca="1">'1ERA SERVICIOS GENERALES'!O9</f>
        <v>0</v>
      </c>
      <c r="R242" s="9">
        <f ca="1">'1ERA SERVICIOS GENERALES'!P9</f>
        <v>0</v>
      </c>
      <c r="S242" s="9">
        <f ca="1">'1ERA SERVICIOS GENERALES'!Q9</f>
        <v>0</v>
      </c>
      <c r="T242" s="9">
        <f ca="1">'1ERA SERVICIOS GENERALES'!R9</f>
        <v>0</v>
      </c>
      <c r="U242" s="9">
        <f ca="1">'1ERA SERVICIOS GENERALES'!S9</f>
        <v>87</v>
      </c>
    </row>
    <row r="243" spans="1:21" ht="39.75" customHeight="1">
      <c r="A243" s="30"/>
      <c r="B243" s="30"/>
      <c r="C243" s="5" t="s">
        <v>281</v>
      </c>
      <c r="D243" s="9">
        <f ca="1">'1ERA SERVICIOS GENERALES'!B10</f>
        <v>1</v>
      </c>
      <c r="E243" s="9">
        <f>'1ERA SERVICIOS GENERALES'!C10</f>
        <v>0</v>
      </c>
      <c r="F243" s="9" t="str">
        <f ca="1">'1ERA SERVICIOS GENERALES'!D10</f>
        <v>ASCENDENTE</v>
      </c>
      <c r="G243" s="9" t="str">
        <f ca="1">'1ERA SERVICIOS GENERALES'!E10</f>
        <v>BITACORA OPERATIVA</v>
      </c>
      <c r="H243" s="9">
        <f ca="1">'1ERA SERVICIOS GENERALES'!F10</f>
        <v>0</v>
      </c>
      <c r="I243" s="9">
        <f ca="1">'1ERA SERVICIOS GENERALES'!G10</f>
        <v>0</v>
      </c>
      <c r="J243" s="9">
        <f ca="1">'1ERA SERVICIOS GENERALES'!H10</f>
        <v>0</v>
      </c>
      <c r="K243" s="9">
        <f ca="1">'1ERA SERVICIOS GENERALES'!I10</f>
        <v>0</v>
      </c>
      <c r="L243" s="9">
        <f ca="1">'1ERA SERVICIOS GENERALES'!J10</f>
        <v>16390</v>
      </c>
      <c r="M243" s="9">
        <f ca="1">'1ERA SERVICIOS GENERALES'!K10</f>
        <v>16390</v>
      </c>
      <c r="N243" s="9">
        <f ca="1">'1ERA SERVICIOS GENERALES'!L10</f>
        <v>16390</v>
      </c>
      <c r="O243" s="9">
        <f ca="1">'1ERA SERVICIOS GENERALES'!M10</f>
        <v>0</v>
      </c>
      <c r="P243" s="9">
        <f ca="1">'1ERA SERVICIOS GENERALES'!N10</f>
        <v>0</v>
      </c>
      <c r="Q243" s="9">
        <f ca="1">'1ERA SERVICIOS GENERALES'!O10</f>
        <v>0</v>
      </c>
      <c r="R243" s="9">
        <f ca="1">'1ERA SERVICIOS GENERALES'!P10</f>
        <v>0</v>
      </c>
      <c r="S243" s="9">
        <f ca="1">'1ERA SERVICIOS GENERALES'!Q10</f>
        <v>0</v>
      </c>
      <c r="T243" s="9">
        <f ca="1">'1ERA SERVICIOS GENERALES'!R10</f>
        <v>0</v>
      </c>
      <c r="U243" s="9">
        <f ca="1">'1ERA SERVICIOS GENERALES'!S10</f>
        <v>49170</v>
      </c>
    </row>
    <row r="244" spans="1:21" ht="39.75" customHeight="1">
      <c r="A244" s="30"/>
      <c r="B244" s="30"/>
      <c r="C244" s="5" t="s">
        <v>282</v>
      </c>
      <c r="D244" s="9">
        <f ca="1">'1ERA SERVICIOS GENERALES'!B11</f>
        <v>1</v>
      </c>
      <c r="E244" s="9">
        <f>'1ERA SERVICIOS GENERALES'!C11</f>
        <v>0</v>
      </c>
      <c r="F244" s="9" t="str">
        <f ca="1">'1ERA SERVICIOS GENERALES'!D11</f>
        <v>ASCENDENTE</v>
      </c>
      <c r="G244" s="9" t="str">
        <f ca="1">'1ERA SERVICIOS GENERALES'!E11</f>
        <v>BITACORA OPERATIVA</v>
      </c>
      <c r="H244" s="9">
        <f ca="1">'1ERA SERVICIOS GENERALES'!F11</f>
        <v>0</v>
      </c>
      <c r="I244" s="9">
        <f ca="1">'1ERA SERVICIOS GENERALES'!G11</f>
        <v>0</v>
      </c>
      <c r="J244" s="9">
        <f ca="1">'1ERA SERVICIOS GENERALES'!H11</f>
        <v>0</v>
      </c>
      <c r="K244" s="9">
        <f ca="1">'1ERA SERVICIOS GENERALES'!I11</f>
        <v>0</v>
      </c>
      <c r="L244" s="9">
        <f ca="1">'1ERA SERVICIOS GENERALES'!J11</f>
        <v>62</v>
      </c>
      <c r="M244" s="9">
        <f ca="1">'1ERA SERVICIOS GENERALES'!K11</f>
        <v>43</v>
      </c>
      <c r="N244" s="9">
        <f ca="1">'1ERA SERVICIOS GENERALES'!L11</f>
        <v>67</v>
      </c>
      <c r="O244" s="9">
        <f ca="1">'1ERA SERVICIOS GENERALES'!M11</f>
        <v>0</v>
      </c>
      <c r="P244" s="9">
        <f ca="1">'1ERA SERVICIOS GENERALES'!N11</f>
        <v>0</v>
      </c>
      <c r="Q244" s="9">
        <f ca="1">'1ERA SERVICIOS GENERALES'!O11</f>
        <v>0</v>
      </c>
      <c r="R244" s="9">
        <f ca="1">'1ERA SERVICIOS GENERALES'!P11</f>
        <v>0</v>
      </c>
      <c r="S244" s="9">
        <f ca="1">'1ERA SERVICIOS GENERALES'!Q11</f>
        <v>0</v>
      </c>
      <c r="T244" s="9">
        <f ca="1">'1ERA SERVICIOS GENERALES'!R11</f>
        <v>0</v>
      </c>
      <c r="U244" s="9">
        <f ca="1">'1ERA SERVICIOS GENERALES'!S11</f>
        <v>172</v>
      </c>
    </row>
    <row r="245" spans="1:21" ht="39.75" customHeight="1">
      <c r="A245" s="30"/>
      <c r="B245" s="30"/>
      <c r="C245" s="5" t="s">
        <v>283</v>
      </c>
      <c r="D245" s="9">
        <f ca="1">'1ERA SERVICIOS GENERALES'!B12</f>
        <v>1</v>
      </c>
      <c r="E245" s="9">
        <f>'1ERA SERVICIOS GENERALES'!C12</f>
        <v>0</v>
      </c>
      <c r="F245" s="9" t="str">
        <f ca="1">'1ERA SERVICIOS GENERALES'!D12</f>
        <v>ASCENDENTE</v>
      </c>
      <c r="G245" s="9" t="str">
        <f ca="1">'1ERA SERVICIOS GENERALES'!E12</f>
        <v>BITACORA OPERATIVA</v>
      </c>
      <c r="H245" s="9">
        <f ca="1">'1ERA SERVICIOS GENERALES'!F12</f>
        <v>0</v>
      </c>
      <c r="I245" s="9">
        <f ca="1">'1ERA SERVICIOS GENERALES'!G12</f>
        <v>0</v>
      </c>
      <c r="J245" s="9">
        <f ca="1">'1ERA SERVICIOS GENERALES'!H12</f>
        <v>0</v>
      </c>
      <c r="K245" s="9">
        <f ca="1">'1ERA SERVICIOS GENERALES'!I12</f>
        <v>0</v>
      </c>
      <c r="L245" s="9">
        <f ca="1">'1ERA SERVICIOS GENERALES'!J12</f>
        <v>0</v>
      </c>
      <c r="M245" s="9">
        <f ca="1">'1ERA SERVICIOS GENERALES'!K12</f>
        <v>0</v>
      </c>
      <c r="N245" s="9">
        <f ca="1">'1ERA SERVICIOS GENERALES'!L12</f>
        <v>0</v>
      </c>
      <c r="O245" s="9">
        <f ca="1">'1ERA SERVICIOS GENERALES'!M12</f>
        <v>0</v>
      </c>
      <c r="P245" s="9">
        <f ca="1">'1ERA SERVICIOS GENERALES'!N12</f>
        <v>0</v>
      </c>
      <c r="Q245" s="9">
        <f ca="1">'1ERA SERVICIOS GENERALES'!O12</f>
        <v>0</v>
      </c>
      <c r="R245" s="9">
        <f ca="1">'1ERA SERVICIOS GENERALES'!P12</f>
        <v>0</v>
      </c>
      <c r="S245" s="9">
        <f ca="1">'1ERA SERVICIOS GENERALES'!Q12</f>
        <v>0</v>
      </c>
      <c r="T245" s="9">
        <f ca="1">'1ERA SERVICIOS GENERALES'!R12</f>
        <v>0</v>
      </c>
      <c r="U245" s="9">
        <f ca="1">'1ERA SERVICIOS GENERALES'!S12</f>
        <v>0</v>
      </c>
    </row>
    <row r="246" spans="1:21" ht="39.75" customHeight="1">
      <c r="A246" s="30"/>
      <c r="B246" s="30"/>
      <c r="C246" s="5" t="s">
        <v>284</v>
      </c>
      <c r="D246" s="9">
        <f ca="1">'1ERA SERVICIOS GENERALES'!B13</f>
        <v>1</v>
      </c>
      <c r="E246" s="9">
        <f>'1ERA SERVICIOS GENERALES'!C13</f>
        <v>0</v>
      </c>
      <c r="F246" s="9" t="str">
        <f ca="1">'1ERA SERVICIOS GENERALES'!D13</f>
        <v>ASCENDENTE</v>
      </c>
      <c r="G246" s="9" t="str">
        <f ca="1">'1ERA SERVICIOS GENERALES'!E13</f>
        <v>BITACORA OPERATIVA</v>
      </c>
      <c r="H246" s="9">
        <f ca="1">'1ERA SERVICIOS GENERALES'!F13</f>
        <v>0</v>
      </c>
      <c r="I246" s="9">
        <f ca="1">'1ERA SERVICIOS GENERALES'!G13</f>
        <v>0</v>
      </c>
      <c r="J246" s="9">
        <f ca="1">'1ERA SERVICIOS GENERALES'!H13</f>
        <v>0</v>
      </c>
      <c r="K246" s="9">
        <f ca="1">'1ERA SERVICIOS GENERALES'!I13</f>
        <v>0</v>
      </c>
      <c r="L246" s="9">
        <f ca="1">'1ERA SERVICIOS GENERALES'!J13</f>
        <v>3</v>
      </c>
      <c r="M246" s="9">
        <f ca="1">'1ERA SERVICIOS GENERALES'!K13</f>
        <v>2</v>
      </c>
      <c r="N246" s="9">
        <f ca="1">'1ERA SERVICIOS GENERALES'!L13</f>
        <v>4</v>
      </c>
      <c r="O246" s="9">
        <f ca="1">'1ERA SERVICIOS GENERALES'!M13</f>
        <v>0</v>
      </c>
      <c r="P246" s="9">
        <f ca="1">'1ERA SERVICIOS GENERALES'!N13</f>
        <v>0</v>
      </c>
      <c r="Q246" s="9">
        <f ca="1">'1ERA SERVICIOS GENERALES'!O13</f>
        <v>0</v>
      </c>
      <c r="R246" s="9">
        <f ca="1">'1ERA SERVICIOS GENERALES'!P13</f>
        <v>0</v>
      </c>
      <c r="S246" s="9">
        <f ca="1">'1ERA SERVICIOS GENERALES'!Q13</f>
        <v>0</v>
      </c>
      <c r="T246" s="9">
        <f ca="1">'1ERA SERVICIOS GENERALES'!R13</f>
        <v>0</v>
      </c>
      <c r="U246" s="9">
        <f ca="1">'1ERA SERVICIOS GENERALES'!S13</f>
        <v>9</v>
      </c>
    </row>
    <row r="247" spans="1:21" ht="39.75" customHeight="1">
      <c r="A247" s="30"/>
      <c r="B247" s="30"/>
      <c r="C247" s="5" t="s">
        <v>285</v>
      </c>
      <c r="D247" s="9">
        <f ca="1">'1ERA SERVICIOS GENERALES'!B14</f>
        <v>1</v>
      </c>
      <c r="E247" s="9">
        <f>'1ERA SERVICIOS GENERALES'!C14</f>
        <v>0</v>
      </c>
      <c r="F247" s="9" t="str">
        <f ca="1">'1ERA SERVICIOS GENERALES'!D14</f>
        <v>ASCENDENTE</v>
      </c>
      <c r="G247" s="9" t="str">
        <f ca="1">'1ERA SERVICIOS GENERALES'!E14</f>
        <v>BITACORA OPERATIVA</v>
      </c>
      <c r="H247" s="9">
        <f ca="1">'1ERA SERVICIOS GENERALES'!F14</f>
        <v>0</v>
      </c>
      <c r="I247" s="9">
        <f ca="1">'1ERA SERVICIOS GENERALES'!G14</f>
        <v>0</v>
      </c>
      <c r="J247" s="9">
        <f ca="1">'1ERA SERVICIOS GENERALES'!H14</f>
        <v>0</v>
      </c>
      <c r="K247" s="9">
        <f ca="1">'1ERA SERVICIOS GENERALES'!I14</f>
        <v>0</v>
      </c>
      <c r="L247" s="9">
        <f ca="1">'1ERA SERVICIOS GENERALES'!J14</f>
        <v>31</v>
      </c>
      <c r="M247" s="9">
        <f ca="1">'1ERA SERVICIOS GENERALES'!K14</f>
        <v>13</v>
      </c>
      <c r="N247" s="9">
        <f ca="1">'1ERA SERVICIOS GENERALES'!L14</f>
        <v>19</v>
      </c>
      <c r="O247" s="9">
        <f ca="1">'1ERA SERVICIOS GENERALES'!M14</f>
        <v>0</v>
      </c>
      <c r="P247" s="9">
        <f ca="1">'1ERA SERVICIOS GENERALES'!N14</f>
        <v>0</v>
      </c>
      <c r="Q247" s="9">
        <f ca="1">'1ERA SERVICIOS GENERALES'!O14</f>
        <v>0</v>
      </c>
      <c r="R247" s="9">
        <f ca="1">'1ERA SERVICIOS GENERALES'!P14</f>
        <v>0</v>
      </c>
      <c r="S247" s="9">
        <f ca="1">'1ERA SERVICIOS GENERALES'!Q14</f>
        <v>0</v>
      </c>
      <c r="T247" s="9">
        <f ca="1">'1ERA SERVICIOS GENERALES'!R14</f>
        <v>0</v>
      </c>
      <c r="U247" s="9">
        <f ca="1">'1ERA SERVICIOS GENERALES'!S14</f>
        <v>63</v>
      </c>
    </row>
    <row r="248" spans="1:21" ht="39.75" customHeight="1">
      <c r="A248" s="30"/>
      <c r="B248" s="30"/>
      <c r="C248" s="5" t="s">
        <v>286</v>
      </c>
      <c r="D248" s="9">
        <f ca="1">'1ERA SERVICIOS GENERALES'!B15</f>
        <v>1</v>
      </c>
      <c r="E248" s="9">
        <f>'1ERA SERVICIOS GENERALES'!C15</f>
        <v>0</v>
      </c>
      <c r="F248" s="9" t="str">
        <f ca="1">'1ERA SERVICIOS GENERALES'!D15</f>
        <v>ASCENDENTE</v>
      </c>
      <c r="G248" s="9" t="str">
        <f ca="1">'1ERA SERVICIOS GENERALES'!E15</f>
        <v>BITACORA OPERATIVA</v>
      </c>
      <c r="H248" s="9">
        <f ca="1">'1ERA SERVICIOS GENERALES'!F15</f>
        <v>0</v>
      </c>
      <c r="I248" s="9">
        <f ca="1">'1ERA SERVICIOS GENERALES'!G15</f>
        <v>0</v>
      </c>
      <c r="J248" s="9">
        <f ca="1">'1ERA SERVICIOS GENERALES'!H15</f>
        <v>0</v>
      </c>
      <c r="K248" s="9">
        <f ca="1">'1ERA SERVICIOS GENERALES'!I15</f>
        <v>0</v>
      </c>
      <c r="L248" s="9">
        <f ca="1">'1ERA SERVICIOS GENERALES'!J15</f>
        <v>107</v>
      </c>
      <c r="M248" s="9">
        <f ca="1">'1ERA SERVICIOS GENERALES'!K15</f>
        <v>133</v>
      </c>
      <c r="N248" s="9">
        <f ca="1">'1ERA SERVICIOS GENERALES'!L15</f>
        <v>94</v>
      </c>
      <c r="O248" s="9">
        <f ca="1">'1ERA SERVICIOS GENERALES'!M15</f>
        <v>0</v>
      </c>
      <c r="P248" s="9">
        <f ca="1">'1ERA SERVICIOS GENERALES'!N15</f>
        <v>0</v>
      </c>
      <c r="Q248" s="9">
        <f ca="1">'1ERA SERVICIOS GENERALES'!O15</f>
        <v>0</v>
      </c>
      <c r="R248" s="9">
        <f ca="1">'1ERA SERVICIOS GENERALES'!P15</f>
        <v>0</v>
      </c>
      <c r="S248" s="9">
        <f ca="1">'1ERA SERVICIOS GENERALES'!Q15</f>
        <v>0</v>
      </c>
      <c r="T248" s="9">
        <f ca="1">'1ERA SERVICIOS GENERALES'!R15</f>
        <v>0</v>
      </c>
      <c r="U248" s="9">
        <f ca="1">'1ERA SERVICIOS GENERALES'!S15</f>
        <v>334</v>
      </c>
    </row>
    <row r="249" spans="1:21" ht="39.75" customHeight="1">
      <c r="A249" s="30"/>
      <c r="B249" s="30"/>
      <c r="C249" s="5" t="s">
        <v>287</v>
      </c>
      <c r="D249" s="9">
        <f ca="1">'1ERA SERVICIOS GENERALES'!B16</f>
        <v>1</v>
      </c>
      <c r="E249" s="9">
        <f>'1ERA SERVICIOS GENERALES'!C16</f>
        <v>0</v>
      </c>
      <c r="F249" s="9" t="str">
        <f ca="1">'1ERA SERVICIOS GENERALES'!D16</f>
        <v>ASCENDENTE</v>
      </c>
      <c r="G249" s="9" t="str">
        <f ca="1">'1ERA SERVICIOS GENERALES'!E16</f>
        <v>BITACORA OPERATIVA</v>
      </c>
      <c r="H249" s="9">
        <f ca="1">'1ERA SERVICIOS GENERALES'!F16</f>
        <v>0</v>
      </c>
      <c r="I249" s="9">
        <f ca="1">'1ERA SERVICIOS GENERALES'!G16</f>
        <v>0</v>
      </c>
      <c r="J249" s="9">
        <f ca="1">'1ERA SERVICIOS GENERALES'!H16</f>
        <v>0</v>
      </c>
      <c r="K249" s="9">
        <f ca="1">'1ERA SERVICIOS GENERALES'!I16</f>
        <v>0</v>
      </c>
      <c r="L249" s="9">
        <f ca="1">'1ERA SERVICIOS GENERALES'!J16</f>
        <v>0</v>
      </c>
      <c r="M249" s="9">
        <f ca="1">'1ERA SERVICIOS GENERALES'!K16</f>
        <v>0</v>
      </c>
      <c r="N249" s="9">
        <f ca="1">'1ERA SERVICIOS GENERALES'!L16</f>
        <v>3</v>
      </c>
      <c r="O249" s="9">
        <f ca="1">'1ERA SERVICIOS GENERALES'!M16</f>
        <v>0</v>
      </c>
      <c r="P249" s="9">
        <f ca="1">'1ERA SERVICIOS GENERALES'!N16</f>
        <v>0</v>
      </c>
      <c r="Q249" s="9">
        <f ca="1">'1ERA SERVICIOS GENERALES'!O16</f>
        <v>0</v>
      </c>
      <c r="R249" s="9">
        <f ca="1">'1ERA SERVICIOS GENERALES'!P16</f>
        <v>0</v>
      </c>
      <c r="S249" s="9">
        <f ca="1">'1ERA SERVICIOS GENERALES'!Q16</f>
        <v>0</v>
      </c>
      <c r="T249" s="9">
        <f ca="1">'1ERA SERVICIOS GENERALES'!R16</f>
        <v>0</v>
      </c>
      <c r="U249" s="9">
        <f ca="1">'1ERA SERVICIOS GENERALES'!S16</f>
        <v>3</v>
      </c>
    </row>
    <row r="250" spans="1:21" ht="39.75" customHeight="1">
      <c r="A250" s="30"/>
      <c r="B250" s="30"/>
      <c r="C250" s="5" t="s">
        <v>288</v>
      </c>
      <c r="D250" s="9">
        <f ca="1">'1ERA SERVICIOS GENERALES'!B17</f>
        <v>1</v>
      </c>
      <c r="E250" s="9">
        <f>'1ERA SERVICIOS GENERALES'!C17</f>
        <v>0</v>
      </c>
      <c r="F250" s="9" t="str">
        <f ca="1">'1ERA SERVICIOS GENERALES'!D17</f>
        <v>ASCENDENTE</v>
      </c>
      <c r="G250" s="9" t="str">
        <f ca="1">'1ERA SERVICIOS GENERALES'!E17</f>
        <v>BITACORA OPERATIVA</v>
      </c>
      <c r="H250" s="9">
        <f ca="1">'1ERA SERVICIOS GENERALES'!F17</f>
        <v>0</v>
      </c>
      <c r="I250" s="9">
        <f ca="1">'1ERA SERVICIOS GENERALES'!G17</f>
        <v>0</v>
      </c>
      <c r="J250" s="9">
        <f ca="1">'1ERA SERVICIOS GENERALES'!H17</f>
        <v>0</v>
      </c>
      <c r="K250" s="9">
        <f ca="1">'1ERA SERVICIOS GENERALES'!I17</f>
        <v>0</v>
      </c>
      <c r="L250" s="9">
        <f ca="1">'1ERA SERVICIOS GENERALES'!J17</f>
        <v>7</v>
      </c>
      <c r="M250" s="9">
        <f ca="1">'1ERA SERVICIOS GENERALES'!K17</f>
        <v>6</v>
      </c>
      <c r="N250" s="9">
        <f ca="1">'1ERA SERVICIOS GENERALES'!L17</f>
        <v>10</v>
      </c>
      <c r="O250" s="9">
        <f ca="1">'1ERA SERVICIOS GENERALES'!M17</f>
        <v>0</v>
      </c>
      <c r="P250" s="9">
        <f ca="1">'1ERA SERVICIOS GENERALES'!N17</f>
        <v>0</v>
      </c>
      <c r="Q250" s="9">
        <f ca="1">'1ERA SERVICIOS GENERALES'!O17</f>
        <v>0</v>
      </c>
      <c r="R250" s="9">
        <f ca="1">'1ERA SERVICIOS GENERALES'!P17</f>
        <v>0</v>
      </c>
      <c r="S250" s="9">
        <f ca="1">'1ERA SERVICIOS GENERALES'!Q17</f>
        <v>0</v>
      </c>
      <c r="T250" s="9">
        <f ca="1">'1ERA SERVICIOS GENERALES'!R17</f>
        <v>0</v>
      </c>
      <c r="U250" s="9">
        <f ca="1">'1ERA SERVICIOS GENERALES'!S17</f>
        <v>23</v>
      </c>
    </row>
    <row r="251" spans="1:21" ht="39.75" customHeight="1">
      <c r="A251" s="30"/>
      <c r="B251" s="30"/>
      <c r="C251" s="5" t="s">
        <v>289</v>
      </c>
      <c r="D251" s="9">
        <f ca="1">'1ERA SERVICIOS GENERALES'!B18</f>
        <v>1</v>
      </c>
      <c r="E251" s="9">
        <f>'1ERA SERVICIOS GENERALES'!C18</f>
        <v>0</v>
      </c>
      <c r="F251" s="9" t="str">
        <f ca="1">'1ERA SERVICIOS GENERALES'!D18</f>
        <v>ASCENDENTE</v>
      </c>
      <c r="G251" s="9" t="str">
        <f ca="1">'1ERA SERVICIOS GENERALES'!E18</f>
        <v>BITACORA OPERATIVA</v>
      </c>
      <c r="H251" s="9">
        <f ca="1">'1ERA SERVICIOS GENERALES'!F18</f>
        <v>0</v>
      </c>
      <c r="I251" s="9">
        <f ca="1">'1ERA SERVICIOS GENERALES'!G18</f>
        <v>0</v>
      </c>
      <c r="J251" s="9">
        <f ca="1">'1ERA SERVICIOS GENERALES'!H18</f>
        <v>0</v>
      </c>
      <c r="K251" s="9">
        <f ca="1">'1ERA SERVICIOS GENERALES'!I18</f>
        <v>0</v>
      </c>
      <c r="L251" s="9">
        <f ca="1">'1ERA SERVICIOS GENERALES'!J18</f>
        <v>1</v>
      </c>
      <c r="M251" s="9">
        <f ca="1">'1ERA SERVICIOS GENERALES'!K18</f>
        <v>1</v>
      </c>
      <c r="N251" s="9">
        <f ca="1">'1ERA SERVICIOS GENERALES'!L18</f>
        <v>2</v>
      </c>
      <c r="O251" s="9">
        <f ca="1">'1ERA SERVICIOS GENERALES'!M18</f>
        <v>0</v>
      </c>
      <c r="P251" s="9">
        <f ca="1">'1ERA SERVICIOS GENERALES'!N18</f>
        <v>0</v>
      </c>
      <c r="Q251" s="9">
        <f ca="1">'1ERA SERVICIOS GENERALES'!O18</f>
        <v>0</v>
      </c>
      <c r="R251" s="9">
        <f ca="1">'1ERA SERVICIOS GENERALES'!P18</f>
        <v>0</v>
      </c>
      <c r="S251" s="9">
        <f ca="1">'1ERA SERVICIOS GENERALES'!Q18</f>
        <v>0</v>
      </c>
      <c r="T251" s="9">
        <f ca="1">'1ERA SERVICIOS GENERALES'!R18</f>
        <v>0</v>
      </c>
      <c r="U251" s="9">
        <f ca="1">'1ERA SERVICIOS GENERALES'!S18</f>
        <v>4</v>
      </c>
    </row>
    <row r="252" spans="1:21" ht="39.75" customHeight="1">
      <c r="A252" s="30"/>
      <c r="B252" s="30"/>
      <c r="C252" s="5" t="s">
        <v>290</v>
      </c>
      <c r="D252" s="9">
        <f ca="1">'1ERA SERVICIOS GENERALES'!B19</f>
        <v>1</v>
      </c>
      <c r="E252" s="9">
        <f>'1ERA SERVICIOS GENERALES'!C19</f>
        <v>0</v>
      </c>
      <c r="F252" s="9" t="str">
        <f ca="1">'1ERA SERVICIOS GENERALES'!D19</f>
        <v>ASCENDENTE</v>
      </c>
      <c r="G252" s="9" t="str">
        <f ca="1">'1ERA SERVICIOS GENERALES'!E19</f>
        <v>BITACORA OPERATIVA</v>
      </c>
      <c r="H252" s="9">
        <f ca="1">'1ERA SERVICIOS GENERALES'!F19</f>
        <v>0</v>
      </c>
      <c r="I252" s="9">
        <f ca="1">'1ERA SERVICIOS GENERALES'!G19</f>
        <v>0</v>
      </c>
      <c r="J252" s="9">
        <f ca="1">'1ERA SERVICIOS GENERALES'!H19</f>
        <v>0</v>
      </c>
      <c r="K252" s="9">
        <f ca="1">'1ERA SERVICIOS GENERALES'!I19</f>
        <v>0</v>
      </c>
      <c r="L252" s="9">
        <f ca="1">'1ERA SERVICIOS GENERALES'!J19</f>
        <v>3</v>
      </c>
      <c r="M252" s="9">
        <f ca="1">'1ERA SERVICIOS GENERALES'!K19</f>
        <v>4</v>
      </c>
      <c r="N252" s="9">
        <f ca="1">'1ERA SERVICIOS GENERALES'!L19</f>
        <v>2</v>
      </c>
      <c r="O252" s="9">
        <f ca="1">'1ERA SERVICIOS GENERALES'!M19</f>
        <v>0</v>
      </c>
      <c r="P252" s="9">
        <f ca="1">'1ERA SERVICIOS GENERALES'!N19</f>
        <v>0</v>
      </c>
      <c r="Q252" s="9">
        <f ca="1">'1ERA SERVICIOS GENERALES'!O19</f>
        <v>0</v>
      </c>
      <c r="R252" s="9">
        <f ca="1">'1ERA SERVICIOS GENERALES'!P19</f>
        <v>0</v>
      </c>
      <c r="S252" s="9">
        <f ca="1">'1ERA SERVICIOS GENERALES'!Q19</f>
        <v>0</v>
      </c>
      <c r="T252" s="9">
        <f ca="1">'1ERA SERVICIOS GENERALES'!R19</f>
        <v>0</v>
      </c>
      <c r="U252" s="9">
        <f ca="1">'1ERA SERVICIOS GENERALES'!S19</f>
        <v>9</v>
      </c>
    </row>
    <row r="253" spans="1:21" ht="39.75" customHeight="1">
      <c r="A253" s="30"/>
      <c r="B253" s="30"/>
      <c r="C253" s="5" t="s">
        <v>291</v>
      </c>
      <c r="D253" s="9">
        <f ca="1">'1ERA SERVICIOS GENERALES'!B20</f>
        <v>1</v>
      </c>
      <c r="E253" s="9">
        <f>'1ERA SERVICIOS GENERALES'!C20</f>
        <v>0</v>
      </c>
      <c r="F253" s="9" t="str">
        <f ca="1">'1ERA SERVICIOS GENERALES'!D20</f>
        <v>ASCENDENTE</v>
      </c>
      <c r="G253" s="9" t="str">
        <f ca="1">'1ERA SERVICIOS GENERALES'!E20</f>
        <v>BITACORA OPERATIVA</v>
      </c>
      <c r="H253" s="9">
        <f ca="1">'1ERA SERVICIOS GENERALES'!F20</f>
        <v>0</v>
      </c>
      <c r="I253" s="9">
        <f ca="1">'1ERA SERVICIOS GENERALES'!G20</f>
        <v>0</v>
      </c>
      <c r="J253" s="9">
        <f ca="1">'1ERA SERVICIOS GENERALES'!H20</f>
        <v>0</v>
      </c>
      <c r="K253" s="9">
        <f ca="1">'1ERA SERVICIOS GENERALES'!I20</f>
        <v>0</v>
      </c>
      <c r="L253" s="9">
        <f ca="1">'1ERA SERVICIOS GENERALES'!J20</f>
        <v>1</v>
      </c>
      <c r="M253" s="9">
        <f ca="1">'1ERA SERVICIOS GENERALES'!K20</f>
        <v>1</v>
      </c>
      <c r="N253" s="9">
        <f ca="1">'1ERA SERVICIOS GENERALES'!L20</f>
        <v>2</v>
      </c>
      <c r="O253" s="9">
        <f ca="1">'1ERA SERVICIOS GENERALES'!M20</f>
        <v>0</v>
      </c>
      <c r="P253" s="9">
        <f ca="1">'1ERA SERVICIOS GENERALES'!N20</f>
        <v>0</v>
      </c>
      <c r="Q253" s="9">
        <f ca="1">'1ERA SERVICIOS GENERALES'!O20</f>
        <v>0</v>
      </c>
      <c r="R253" s="9">
        <f ca="1">'1ERA SERVICIOS GENERALES'!P20</f>
        <v>0</v>
      </c>
      <c r="S253" s="9">
        <f ca="1">'1ERA SERVICIOS GENERALES'!Q20</f>
        <v>0</v>
      </c>
      <c r="T253" s="9">
        <f ca="1">'1ERA SERVICIOS GENERALES'!R20</f>
        <v>0</v>
      </c>
      <c r="U253" s="9">
        <f ca="1">'1ERA SERVICIOS GENERALES'!S20</f>
        <v>4</v>
      </c>
    </row>
    <row r="254" spans="1:21" ht="39.75" customHeight="1">
      <c r="A254" s="30"/>
      <c r="B254" s="30"/>
      <c r="C254" s="5" t="s">
        <v>292</v>
      </c>
      <c r="D254" s="9">
        <f ca="1">'1ERA SERVICIOS GENERALES'!B21</f>
        <v>1</v>
      </c>
      <c r="E254" s="9">
        <f>'1ERA SERVICIOS GENERALES'!C21</f>
        <v>0</v>
      </c>
      <c r="F254" s="9" t="str">
        <f ca="1">'1ERA SERVICIOS GENERALES'!D21</f>
        <v>ASCENDENTE</v>
      </c>
      <c r="G254" s="9" t="str">
        <f ca="1">'1ERA SERVICIOS GENERALES'!E21</f>
        <v>BITACORA OPERATIVA</v>
      </c>
      <c r="H254" s="9">
        <f ca="1">'1ERA SERVICIOS GENERALES'!F21</f>
        <v>0</v>
      </c>
      <c r="I254" s="9">
        <f ca="1">'1ERA SERVICIOS GENERALES'!G21</f>
        <v>0</v>
      </c>
      <c r="J254" s="9">
        <f ca="1">'1ERA SERVICIOS GENERALES'!H21</f>
        <v>0</v>
      </c>
      <c r="K254" s="9">
        <f ca="1">'1ERA SERVICIOS GENERALES'!I21</f>
        <v>0</v>
      </c>
      <c r="L254" s="9">
        <f ca="1">'1ERA SERVICIOS GENERALES'!J21</f>
        <v>3</v>
      </c>
      <c r="M254" s="9">
        <f ca="1">'1ERA SERVICIOS GENERALES'!K21</f>
        <v>4</v>
      </c>
      <c r="N254" s="9">
        <f ca="1">'1ERA SERVICIOS GENERALES'!L21</f>
        <v>2</v>
      </c>
      <c r="O254" s="9">
        <f ca="1">'1ERA SERVICIOS GENERALES'!M21</f>
        <v>0</v>
      </c>
      <c r="P254" s="9">
        <f ca="1">'1ERA SERVICIOS GENERALES'!N21</f>
        <v>0</v>
      </c>
      <c r="Q254" s="9">
        <f ca="1">'1ERA SERVICIOS GENERALES'!O21</f>
        <v>0</v>
      </c>
      <c r="R254" s="9">
        <f ca="1">'1ERA SERVICIOS GENERALES'!P21</f>
        <v>0</v>
      </c>
      <c r="S254" s="9">
        <f ca="1">'1ERA SERVICIOS GENERALES'!Q21</f>
        <v>0</v>
      </c>
      <c r="T254" s="9">
        <f ca="1">'1ERA SERVICIOS GENERALES'!R21</f>
        <v>0</v>
      </c>
      <c r="U254" s="9">
        <f ca="1">'1ERA SERVICIOS GENERALES'!S21</f>
        <v>9</v>
      </c>
    </row>
    <row r="255" spans="1:21" ht="39.75" customHeight="1">
      <c r="A255" s="30"/>
      <c r="B255" s="30"/>
      <c r="C255" s="5" t="s">
        <v>293</v>
      </c>
      <c r="D255" s="9">
        <f ca="1">'1ERA SERVICIOS GENERALES'!B22</f>
        <v>1</v>
      </c>
      <c r="E255" s="9">
        <f>'1ERA SERVICIOS GENERALES'!C22</f>
        <v>0</v>
      </c>
      <c r="F255" s="9" t="str">
        <f ca="1">'1ERA SERVICIOS GENERALES'!D22</f>
        <v>ASCENDENTE</v>
      </c>
      <c r="G255" s="9" t="str">
        <f ca="1">'1ERA SERVICIOS GENERALES'!E22</f>
        <v>BITACORA OPERATIVA</v>
      </c>
      <c r="H255" s="9">
        <f ca="1">'1ERA SERVICIOS GENERALES'!F22</f>
        <v>0</v>
      </c>
      <c r="I255" s="9">
        <f ca="1">'1ERA SERVICIOS GENERALES'!G22</f>
        <v>0</v>
      </c>
      <c r="J255" s="9">
        <f ca="1">'1ERA SERVICIOS GENERALES'!H22</f>
        <v>0</v>
      </c>
      <c r="K255" s="9">
        <f ca="1">'1ERA SERVICIOS GENERALES'!I22</f>
        <v>0</v>
      </c>
      <c r="L255" s="9">
        <f ca="1">'1ERA SERVICIOS GENERALES'!J22</f>
        <v>117144</v>
      </c>
      <c r="M255" s="9">
        <f ca="1">'1ERA SERVICIOS GENERALES'!K22</f>
        <v>114769</v>
      </c>
      <c r="N255" s="9">
        <f ca="1">'1ERA SERVICIOS GENERALES'!L22</f>
        <v>126388</v>
      </c>
      <c r="O255" s="9">
        <f ca="1">'1ERA SERVICIOS GENERALES'!M22</f>
        <v>0</v>
      </c>
      <c r="P255" s="9">
        <f ca="1">'1ERA SERVICIOS GENERALES'!N22</f>
        <v>0</v>
      </c>
      <c r="Q255" s="9">
        <f ca="1">'1ERA SERVICIOS GENERALES'!O22</f>
        <v>0</v>
      </c>
      <c r="R255" s="9">
        <f ca="1">'1ERA SERVICIOS GENERALES'!P22</f>
        <v>0</v>
      </c>
      <c r="S255" s="9">
        <f ca="1">'1ERA SERVICIOS GENERALES'!Q22</f>
        <v>0</v>
      </c>
      <c r="T255" s="9">
        <f ca="1">'1ERA SERVICIOS GENERALES'!R22</f>
        <v>0</v>
      </c>
      <c r="U255" s="9">
        <f ca="1">'1ERA SERVICIOS GENERALES'!S22</f>
        <v>358301</v>
      </c>
    </row>
    <row r="256" spans="1:21" ht="39.75" customHeight="1">
      <c r="A256" s="30"/>
      <c r="B256" s="30"/>
      <c r="C256" s="5" t="s">
        <v>294</v>
      </c>
      <c r="D256" s="9">
        <f ca="1">'1ERA SERVICIOS GENERALES'!B23</f>
        <v>1</v>
      </c>
      <c r="E256" s="9">
        <f>'1ERA SERVICIOS GENERALES'!C23</f>
        <v>0</v>
      </c>
      <c r="F256" s="9" t="str">
        <f ca="1">'1ERA SERVICIOS GENERALES'!D23</f>
        <v>ASCENDENTE</v>
      </c>
      <c r="G256" s="9" t="str">
        <f ca="1">'1ERA SERVICIOS GENERALES'!E23</f>
        <v>BITACORA OPERATIVA</v>
      </c>
      <c r="H256" s="9">
        <f ca="1">'1ERA SERVICIOS GENERALES'!F23</f>
        <v>0</v>
      </c>
      <c r="I256" s="9">
        <f ca="1">'1ERA SERVICIOS GENERALES'!G23</f>
        <v>0</v>
      </c>
      <c r="J256" s="9">
        <f ca="1">'1ERA SERVICIOS GENERALES'!H23</f>
        <v>0</v>
      </c>
      <c r="K256" s="9">
        <f ca="1">'1ERA SERVICIOS GENERALES'!I23</f>
        <v>0</v>
      </c>
      <c r="L256" s="9">
        <f ca="1">'1ERA SERVICIOS GENERALES'!J23</f>
        <v>9500</v>
      </c>
      <c r="M256" s="9">
        <f ca="1">'1ERA SERVICIOS GENERALES'!K23</f>
        <v>12500</v>
      </c>
      <c r="N256" s="9">
        <f ca="1">'1ERA SERVICIOS GENERALES'!L23</f>
        <v>12500</v>
      </c>
      <c r="O256" s="9">
        <f ca="1">'1ERA SERVICIOS GENERALES'!M23</f>
        <v>0</v>
      </c>
      <c r="P256" s="9">
        <f ca="1">'1ERA SERVICIOS GENERALES'!N23</f>
        <v>0</v>
      </c>
      <c r="Q256" s="9">
        <f ca="1">'1ERA SERVICIOS GENERALES'!O23</f>
        <v>0</v>
      </c>
      <c r="R256" s="9">
        <f ca="1">'1ERA SERVICIOS GENERALES'!P23</f>
        <v>0</v>
      </c>
      <c r="S256" s="9">
        <f ca="1">'1ERA SERVICIOS GENERALES'!Q23</f>
        <v>0</v>
      </c>
      <c r="T256" s="9">
        <f ca="1">'1ERA SERVICIOS GENERALES'!R23</f>
        <v>0</v>
      </c>
      <c r="U256" s="9">
        <f ca="1">'1ERA SERVICIOS GENERALES'!S23</f>
        <v>34500</v>
      </c>
    </row>
    <row r="257" spans="1:21" ht="39.75" customHeight="1">
      <c r="A257" s="30"/>
      <c r="B257" s="30"/>
      <c r="C257" s="5" t="s">
        <v>295</v>
      </c>
      <c r="D257" s="9">
        <f ca="1">'1ERA SERVICIOS GENERALES'!B24</f>
        <v>1</v>
      </c>
      <c r="E257" s="9">
        <f>'1ERA SERVICIOS GENERALES'!C24</f>
        <v>0</v>
      </c>
      <c r="F257" s="9" t="str">
        <f ca="1">'1ERA SERVICIOS GENERALES'!D24</f>
        <v>ASCENDENTE</v>
      </c>
      <c r="G257" s="9" t="str">
        <f ca="1">'1ERA SERVICIOS GENERALES'!E24</f>
        <v>BITACORA OPERATIVA</v>
      </c>
      <c r="H257" s="9">
        <f ca="1">'1ERA SERVICIOS GENERALES'!F24</f>
        <v>0</v>
      </c>
      <c r="I257" s="9">
        <f ca="1">'1ERA SERVICIOS GENERALES'!G24</f>
        <v>0</v>
      </c>
      <c r="J257" s="9">
        <f ca="1">'1ERA SERVICIOS GENERALES'!H24</f>
        <v>0</v>
      </c>
      <c r="K257" s="9">
        <f ca="1">'1ERA SERVICIOS GENERALES'!I24</f>
        <v>0</v>
      </c>
      <c r="L257" s="9">
        <f ca="1">'1ERA SERVICIOS GENERALES'!J24</f>
        <v>246</v>
      </c>
      <c r="M257" s="9">
        <f ca="1">'1ERA SERVICIOS GENERALES'!K24</f>
        <v>241</v>
      </c>
      <c r="N257" s="9">
        <f ca="1">'1ERA SERVICIOS GENERALES'!L24</f>
        <v>235</v>
      </c>
      <c r="O257" s="9">
        <f ca="1">'1ERA SERVICIOS GENERALES'!M24</f>
        <v>0</v>
      </c>
      <c r="P257" s="9">
        <f ca="1">'1ERA SERVICIOS GENERALES'!N24</f>
        <v>0</v>
      </c>
      <c r="Q257" s="9">
        <f ca="1">'1ERA SERVICIOS GENERALES'!O24</f>
        <v>0</v>
      </c>
      <c r="R257" s="9">
        <f ca="1">'1ERA SERVICIOS GENERALES'!P24</f>
        <v>0</v>
      </c>
      <c r="S257" s="9">
        <f ca="1">'1ERA SERVICIOS GENERALES'!Q24</f>
        <v>0</v>
      </c>
      <c r="T257" s="9">
        <f ca="1">'1ERA SERVICIOS GENERALES'!R24</f>
        <v>0</v>
      </c>
      <c r="U257" s="9">
        <f ca="1">'1ERA SERVICIOS GENERALES'!S24</f>
        <v>722</v>
      </c>
    </row>
    <row r="258" spans="1:21" ht="39.75" customHeight="1">
      <c r="A258" s="30"/>
      <c r="B258" s="31"/>
      <c r="C258" s="5" t="s">
        <v>296</v>
      </c>
      <c r="D258" s="9">
        <f ca="1">'1ERA SERVICIOS GENERALES'!B25</f>
        <v>1</v>
      </c>
      <c r="E258" s="9">
        <f>'1ERA SERVICIOS GENERALES'!C25</f>
        <v>0</v>
      </c>
      <c r="F258" s="9" t="str">
        <f ca="1">'1ERA SERVICIOS GENERALES'!D25</f>
        <v>ASCENDENTE</v>
      </c>
      <c r="G258" s="9" t="str">
        <f ca="1">'1ERA SERVICIOS GENERALES'!E25</f>
        <v>BITACORA OPERATIVA</v>
      </c>
      <c r="H258" s="9">
        <f ca="1">'1ERA SERVICIOS GENERALES'!F25</f>
        <v>0</v>
      </c>
      <c r="I258" s="9">
        <f ca="1">'1ERA SERVICIOS GENERALES'!G25</f>
        <v>0</v>
      </c>
      <c r="J258" s="9">
        <f ca="1">'1ERA SERVICIOS GENERALES'!H25</f>
        <v>0</v>
      </c>
      <c r="K258" s="9">
        <f ca="1">'1ERA SERVICIOS GENERALES'!I25</f>
        <v>0</v>
      </c>
      <c r="L258" s="9">
        <f ca="1">'1ERA SERVICIOS GENERALES'!J25</f>
        <v>1</v>
      </c>
      <c r="M258" s="9">
        <f ca="1">'1ERA SERVICIOS GENERALES'!K25</f>
        <v>3</v>
      </c>
      <c r="N258" s="9">
        <f ca="1">'1ERA SERVICIOS GENERALES'!L25</f>
        <v>1</v>
      </c>
      <c r="O258" s="9">
        <f ca="1">'1ERA SERVICIOS GENERALES'!M25</f>
        <v>0</v>
      </c>
      <c r="P258" s="9">
        <f ca="1">'1ERA SERVICIOS GENERALES'!N25</f>
        <v>0</v>
      </c>
      <c r="Q258" s="9">
        <f ca="1">'1ERA SERVICIOS GENERALES'!O25</f>
        <v>0</v>
      </c>
      <c r="R258" s="9">
        <f ca="1">'1ERA SERVICIOS GENERALES'!P25</f>
        <v>0</v>
      </c>
      <c r="S258" s="9">
        <f ca="1">'1ERA SERVICIOS GENERALES'!Q25</f>
        <v>0</v>
      </c>
      <c r="T258" s="9">
        <f ca="1">'1ERA SERVICIOS GENERALES'!R25</f>
        <v>0</v>
      </c>
      <c r="U258" s="9">
        <f ca="1">'1ERA SERVICIOS GENERALES'!S25</f>
        <v>5</v>
      </c>
    </row>
    <row r="259" spans="1:21" ht="39.75" customHeight="1">
      <c r="A259" s="30"/>
      <c r="B259" s="32" t="s">
        <v>297</v>
      </c>
      <c r="C259" s="5" t="s">
        <v>298</v>
      </c>
      <c r="D259" s="9">
        <f ca="1">'1ERA SERVICIOS GENERALES'!B26</f>
        <v>1</v>
      </c>
      <c r="E259" s="9">
        <f>'1ERA SERVICIOS GENERALES'!C26</f>
        <v>0</v>
      </c>
      <c r="F259" s="9" t="str">
        <f ca="1">'1ERA SERVICIOS GENERALES'!D26</f>
        <v>ASCENDENTE</v>
      </c>
      <c r="G259" s="9" t="str">
        <f ca="1">'1ERA SERVICIOS GENERALES'!E26</f>
        <v>BITACORA OPERATIVA</v>
      </c>
      <c r="H259" s="9">
        <f ca="1">'1ERA SERVICIOS GENERALES'!F26</f>
        <v>0</v>
      </c>
      <c r="I259" s="9">
        <f ca="1">'1ERA SERVICIOS GENERALES'!G26</f>
        <v>0</v>
      </c>
      <c r="J259" s="9">
        <f ca="1">'1ERA SERVICIOS GENERALES'!H26</f>
        <v>0</v>
      </c>
      <c r="K259" s="9">
        <f ca="1">'1ERA SERVICIOS GENERALES'!I26</f>
        <v>0</v>
      </c>
      <c r="L259" s="9">
        <f ca="1">'1ERA SERVICIOS GENERALES'!J26</f>
        <v>0</v>
      </c>
      <c r="M259" s="9">
        <f ca="1">'1ERA SERVICIOS GENERALES'!K26</f>
        <v>0</v>
      </c>
      <c r="N259" s="9">
        <f ca="1">'1ERA SERVICIOS GENERALES'!L26</f>
        <v>0</v>
      </c>
      <c r="O259" s="9">
        <f ca="1">'1ERA SERVICIOS GENERALES'!M26</f>
        <v>0</v>
      </c>
      <c r="P259" s="9">
        <f ca="1">'1ERA SERVICIOS GENERALES'!N26</f>
        <v>0</v>
      </c>
      <c r="Q259" s="9">
        <f ca="1">'1ERA SERVICIOS GENERALES'!O26</f>
        <v>0</v>
      </c>
      <c r="R259" s="9">
        <f ca="1">'1ERA SERVICIOS GENERALES'!P26</f>
        <v>0</v>
      </c>
      <c r="S259" s="9">
        <f ca="1">'1ERA SERVICIOS GENERALES'!Q26</f>
        <v>0</v>
      </c>
      <c r="T259" s="9">
        <f ca="1">'1ERA SERVICIOS GENERALES'!R26</f>
        <v>0</v>
      </c>
      <c r="U259" s="9">
        <f ca="1">'1ERA SERVICIOS GENERALES'!S26</f>
        <v>0</v>
      </c>
    </row>
    <row r="260" spans="1:21" ht="39.75" customHeight="1">
      <c r="A260" s="30"/>
      <c r="B260" s="30"/>
      <c r="C260" s="5" t="s">
        <v>299</v>
      </c>
      <c r="D260" s="9">
        <f ca="1">'1ERA SERVICIOS GENERALES'!B27</f>
        <v>1</v>
      </c>
      <c r="E260" s="9">
        <f>'1ERA SERVICIOS GENERALES'!C27</f>
        <v>0</v>
      </c>
      <c r="F260" s="9" t="str">
        <f ca="1">'1ERA SERVICIOS GENERALES'!D27</f>
        <v>ASCENDENTE</v>
      </c>
      <c r="G260" s="9" t="str">
        <f ca="1">'1ERA SERVICIOS GENERALES'!E27</f>
        <v>BITACORA OPERATIVA</v>
      </c>
      <c r="H260" s="9">
        <f ca="1">'1ERA SERVICIOS GENERALES'!F27</f>
        <v>0</v>
      </c>
      <c r="I260" s="9">
        <f ca="1">'1ERA SERVICIOS GENERALES'!G27</f>
        <v>0</v>
      </c>
      <c r="J260" s="9">
        <f ca="1">'1ERA SERVICIOS GENERALES'!H27</f>
        <v>0</v>
      </c>
      <c r="K260" s="9">
        <f ca="1">'1ERA SERVICIOS GENERALES'!I27</f>
        <v>0</v>
      </c>
      <c r="L260" s="9">
        <f ca="1">'1ERA SERVICIOS GENERALES'!J27</f>
        <v>42</v>
      </c>
      <c r="M260" s="9">
        <f ca="1">'1ERA SERVICIOS GENERALES'!K27</f>
        <v>18</v>
      </c>
      <c r="N260" s="9">
        <f ca="1">'1ERA SERVICIOS GENERALES'!L27</f>
        <v>34</v>
      </c>
      <c r="O260" s="9">
        <f ca="1">'1ERA SERVICIOS GENERALES'!M27</f>
        <v>0</v>
      </c>
      <c r="P260" s="9">
        <f ca="1">'1ERA SERVICIOS GENERALES'!N27</f>
        <v>0</v>
      </c>
      <c r="Q260" s="9">
        <f ca="1">'1ERA SERVICIOS GENERALES'!O27</f>
        <v>0</v>
      </c>
      <c r="R260" s="9">
        <f ca="1">'1ERA SERVICIOS GENERALES'!P27</f>
        <v>0</v>
      </c>
      <c r="S260" s="9">
        <f ca="1">'1ERA SERVICIOS GENERALES'!Q27</f>
        <v>0</v>
      </c>
      <c r="T260" s="9">
        <f ca="1">'1ERA SERVICIOS GENERALES'!R27</f>
        <v>0</v>
      </c>
      <c r="U260" s="9">
        <f ca="1">'1ERA SERVICIOS GENERALES'!S27</f>
        <v>94</v>
      </c>
    </row>
    <row r="261" spans="1:21" ht="39.75" customHeight="1">
      <c r="A261" s="30"/>
      <c r="B261" s="30"/>
      <c r="C261" s="5" t="s">
        <v>300</v>
      </c>
      <c r="D261" s="9">
        <f ca="1">'1ERA SERVICIOS GENERALES'!B28</f>
        <v>1</v>
      </c>
      <c r="E261" s="9">
        <f>'1ERA SERVICIOS GENERALES'!C28</f>
        <v>0</v>
      </c>
      <c r="F261" s="9" t="str">
        <f ca="1">'1ERA SERVICIOS GENERALES'!D28</f>
        <v>ASCENDENTE</v>
      </c>
      <c r="G261" s="9" t="str">
        <f ca="1">'1ERA SERVICIOS GENERALES'!E28</f>
        <v>BITACORA OPERATIVA</v>
      </c>
      <c r="H261" s="9">
        <f ca="1">'1ERA SERVICIOS GENERALES'!F28</f>
        <v>0</v>
      </c>
      <c r="I261" s="9">
        <f ca="1">'1ERA SERVICIOS GENERALES'!G28</f>
        <v>0</v>
      </c>
      <c r="J261" s="9">
        <f ca="1">'1ERA SERVICIOS GENERALES'!H28</f>
        <v>0</v>
      </c>
      <c r="K261" s="9">
        <f ca="1">'1ERA SERVICIOS GENERALES'!I28</f>
        <v>0</v>
      </c>
      <c r="L261" s="9">
        <f ca="1">'1ERA SERVICIOS GENERALES'!J28</f>
        <v>17</v>
      </c>
      <c r="M261" s="9">
        <f ca="1">'1ERA SERVICIOS GENERALES'!K28</f>
        <v>13</v>
      </c>
      <c r="N261" s="9">
        <f ca="1">'1ERA SERVICIOS GENERALES'!L28</f>
        <v>10</v>
      </c>
      <c r="O261" s="9">
        <f ca="1">'1ERA SERVICIOS GENERALES'!M28</f>
        <v>0</v>
      </c>
      <c r="P261" s="9">
        <f ca="1">'1ERA SERVICIOS GENERALES'!N28</f>
        <v>0</v>
      </c>
      <c r="Q261" s="9">
        <f ca="1">'1ERA SERVICIOS GENERALES'!O28</f>
        <v>0</v>
      </c>
      <c r="R261" s="9">
        <f ca="1">'1ERA SERVICIOS GENERALES'!P28</f>
        <v>0</v>
      </c>
      <c r="S261" s="9">
        <f ca="1">'1ERA SERVICIOS GENERALES'!Q28</f>
        <v>0</v>
      </c>
      <c r="T261" s="9">
        <f ca="1">'1ERA SERVICIOS GENERALES'!R28</f>
        <v>0</v>
      </c>
      <c r="U261" s="9">
        <f ca="1">'1ERA SERVICIOS GENERALES'!S28</f>
        <v>40</v>
      </c>
    </row>
    <row r="262" spans="1:21" ht="39.75" customHeight="1">
      <c r="A262" s="30"/>
      <c r="B262" s="30"/>
      <c r="C262" s="5" t="s">
        <v>301</v>
      </c>
      <c r="D262" s="9">
        <f ca="1">'1ERA SERVICIOS GENERALES'!B29</f>
        <v>1</v>
      </c>
      <c r="E262" s="9">
        <f>'1ERA SERVICIOS GENERALES'!C29</f>
        <v>0</v>
      </c>
      <c r="F262" s="9" t="str">
        <f ca="1">'1ERA SERVICIOS GENERALES'!D29</f>
        <v>ASCENDENTE</v>
      </c>
      <c r="G262" s="9" t="str">
        <f ca="1">'1ERA SERVICIOS GENERALES'!E29</f>
        <v>BITACORA OPERATIVA</v>
      </c>
      <c r="H262" s="9">
        <f ca="1">'1ERA SERVICIOS GENERALES'!F29</f>
        <v>0</v>
      </c>
      <c r="I262" s="9">
        <f ca="1">'1ERA SERVICIOS GENERALES'!G29</f>
        <v>0</v>
      </c>
      <c r="J262" s="9">
        <f ca="1">'1ERA SERVICIOS GENERALES'!H29</f>
        <v>0</v>
      </c>
      <c r="K262" s="9">
        <f ca="1">'1ERA SERVICIOS GENERALES'!I29</f>
        <v>0</v>
      </c>
      <c r="L262" s="9">
        <f ca="1">'1ERA SERVICIOS GENERALES'!J29</f>
        <v>28</v>
      </c>
      <c r="M262" s="9">
        <f ca="1">'1ERA SERVICIOS GENERALES'!K29</f>
        <v>32</v>
      </c>
      <c r="N262" s="9">
        <f ca="1">'1ERA SERVICIOS GENERALES'!L29</f>
        <v>26</v>
      </c>
      <c r="O262" s="9">
        <f ca="1">'1ERA SERVICIOS GENERALES'!M29</f>
        <v>0</v>
      </c>
      <c r="P262" s="9">
        <f ca="1">'1ERA SERVICIOS GENERALES'!N29</f>
        <v>0</v>
      </c>
      <c r="Q262" s="9">
        <f ca="1">'1ERA SERVICIOS GENERALES'!O29</f>
        <v>0</v>
      </c>
      <c r="R262" s="9">
        <f ca="1">'1ERA SERVICIOS GENERALES'!P29</f>
        <v>0</v>
      </c>
      <c r="S262" s="9">
        <f ca="1">'1ERA SERVICIOS GENERALES'!Q29</f>
        <v>0</v>
      </c>
      <c r="T262" s="9">
        <f ca="1">'1ERA SERVICIOS GENERALES'!R29</f>
        <v>0</v>
      </c>
      <c r="U262" s="9">
        <f ca="1">'1ERA SERVICIOS GENERALES'!S29</f>
        <v>86</v>
      </c>
    </row>
    <row r="263" spans="1:21" ht="39.75" customHeight="1">
      <c r="A263" s="30"/>
      <c r="B263" s="30"/>
      <c r="C263" s="5" t="s">
        <v>302</v>
      </c>
      <c r="D263" s="9">
        <f ca="1">'1ERA SERVICIOS GENERALES'!B30</f>
        <v>1</v>
      </c>
      <c r="E263" s="9">
        <f>'1ERA SERVICIOS GENERALES'!C30</f>
        <v>0</v>
      </c>
      <c r="F263" s="9" t="str">
        <f ca="1">'1ERA SERVICIOS GENERALES'!D30</f>
        <v>ASCENDENTE</v>
      </c>
      <c r="G263" s="9" t="str">
        <f ca="1">'1ERA SERVICIOS GENERALES'!E30</f>
        <v>BITACORA OPERATIVA</v>
      </c>
      <c r="H263" s="9">
        <f ca="1">'1ERA SERVICIOS GENERALES'!F30</f>
        <v>0</v>
      </c>
      <c r="I263" s="9">
        <f ca="1">'1ERA SERVICIOS GENERALES'!G30</f>
        <v>0</v>
      </c>
      <c r="J263" s="9">
        <f ca="1">'1ERA SERVICIOS GENERALES'!H30</f>
        <v>0</v>
      </c>
      <c r="K263" s="9">
        <f ca="1">'1ERA SERVICIOS GENERALES'!I30</f>
        <v>0</v>
      </c>
      <c r="L263" s="9">
        <f ca="1">'1ERA SERVICIOS GENERALES'!J30</f>
        <v>2</v>
      </c>
      <c r="M263" s="9">
        <f ca="1">'1ERA SERVICIOS GENERALES'!K30</f>
        <v>1</v>
      </c>
      <c r="N263" s="9">
        <f ca="1">'1ERA SERVICIOS GENERALES'!L30</f>
        <v>1</v>
      </c>
      <c r="O263" s="9">
        <f ca="1">'1ERA SERVICIOS GENERALES'!M30</f>
        <v>0</v>
      </c>
      <c r="P263" s="9">
        <f ca="1">'1ERA SERVICIOS GENERALES'!N30</f>
        <v>0</v>
      </c>
      <c r="Q263" s="9">
        <f ca="1">'1ERA SERVICIOS GENERALES'!O30</f>
        <v>0</v>
      </c>
      <c r="R263" s="9">
        <f ca="1">'1ERA SERVICIOS GENERALES'!P30</f>
        <v>0</v>
      </c>
      <c r="S263" s="9">
        <f ca="1">'1ERA SERVICIOS GENERALES'!Q30</f>
        <v>0</v>
      </c>
      <c r="T263" s="9">
        <f ca="1">'1ERA SERVICIOS GENERALES'!R30</f>
        <v>0</v>
      </c>
      <c r="U263" s="9">
        <f ca="1">'1ERA SERVICIOS GENERALES'!S30</f>
        <v>4</v>
      </c>
    </row>
    <row r="264" spans="1:21" ht="39.75" customHeight="1">
      <c r="A264" s="30"/>
      <c r="B264" s="31"/>
      <c r="C264" s="5" t="s">
        <v>303</v>
      </c>
      <c r="D264" s="9">
        <f ca="1">'1ERA SERVICIOS GENERALES'!B31</f>
        <v>1</v>
      </c>
      <c r="E264" s="9">
        <f>'1ERA SERVICIOS GENERALES'!C31</f>
        <v>0</v>
      </c>
      <c r="F264" s="9" t="str">
        <f ca="1">'1ERA SERVICIOS GENERALES'!D31</f>
        <v>ASCENDENTE</v>
      </c>
      <c r="G264" s="9" t="str">
        <f ca="1">'1ERA SERVICIOS GENERALES'!E31</f>
        <v>BITACORA OPERATIVA</v>
      </c>
      <c r="H264" s="9">
        <f ca="1">'1ERA SERVICIOS GENERALES'!F31</f>
        <v>0</v>
      </c>
      <c r="I264" s="9">
        <f ca="1">'1ERA SERVICIOS GENERALES'!G31</f>
        <v>0</v>
      </c>
      <c r="J264" s="9">
        <f ca="1">'1ERA SERVICIOS GENERALES'!H31</f>
        <v>0</v>
      </c>
      <c r="K264" s="9">
        <f ca="1">'1ERA SERVICIOS GENERALES'!I31</f>
        <v>0</v>
      </c>
      <c r="L264" s="9">
        <f ca="1">'1ERA SERVICIOS GENERALES'!J31</f>
        <v>8</v>
      </c>
      <c r="M264" s="9">
        <f ca="1">'1ERA SERVICIOS GENERALES'!K31</f>
        <v>14</v>
      </c>
      <c r="N264" s="9">
        <f ca="1">'1ERA SERVICIOS GENERALES'!L31</f>
        <v>32</v>
      </c>
      <c r="O264" s="9">
        <f ca="1">'1ERA SERVICIOS GENERALES'!M31</f>
        <v>0</v>
      </c>
      <c r="P264" s="9">
        <f ca="1">'1ERA SERVICIOS GENERALES'!N31</f>
        <v>0</v>
      </c>
      <c r="Q264" s="9">
        <f ca="1">'1ERA SERVICIOS GENERALES'!O31</f>
        <v>0</v>
      </c>
      <c r="R264" s="9">
        <f ca="1">'1ERA SERVICIOS GENERALES'!P31</f>
        <v>0</v>
      </c>
      <c r="S264" s="9">
        <f ca="1">'1ERA SERVICIOS GENERALES'!Q31</f>
        <v>0</v>
      </c>
      <c r="T264" s="9">
        <f ca="1">'1ERA SERVICIOS GENERALES'!R31</f>
        <v>0</v>
      </c>
      <c r="U264" s="9">
        <f ca="1">'1ERA SERVICIOS GENERALES'!S31</f>
        <v>54</v>
      </c>
    </row>
    <row r="265" spans="1:21" ht="39.75" customHeight="1">
      <c r="A265" s="30"/>
      <c r="B265" s="32" t="s">
        <v>304</v>
      </c>
      <c r="C265" s="5" t="s">
        <v>305</v>
      </c>
      <c r="D265" s="9">
        <f ca="1">'1ERA SERVICIOS GENERALES'!B32</f>
        <v>1</v>
      </c>
      <c r="E265" s="9">
        <f>'1ERA SERVICIOS GENERALES'!C32</f>
        <v>0</v>
      </c>
      <c r="F265" s="9" t="str">
        <f ca="1">'1ERA SERVICIOS GENERALES'!D32</f>
        <v>ASCENDENTE</v>
      </c>
      <c r="G265" s="9" t="str">
        <f ca="1">'1ERA SERVICIOS GENERALES'!E32</f>
        <v>BITACORA OPERATIVA</v>
      </c>
      <c r="H265" s="9">
        <f ca="1">'1ERA SERVICIOS GENERALES'!F32</f>
        <v>0</v>
      </c>
      <c r="I265" s="9">
        <f ca="1">'1ERA SERVICIOS GENERALES'!G32</f>
        <v>0</v>
      </c>
      <c r="J265" s="9">
        <f ca="1">'1ERA SERVICIOS GENERALES'!H32</f>
        <v>0</v>
      </c>
      <c r="K265" s="9">
        <f ca="1">'1ERA SERVICIOS GENERALES'!I32</f>
        <v>0</v>
      </c>
      <c r="L265" s="9">
        <f ca="1">'1ERA SERVICIOS GENERALES'!J32</f>
        <v>240</v>
      </c>
      <c r="M265" s="9">
        <f ca="1">'1ERA SERVICIOS GENERALES'!K32</f>
        <v>224</v>
      </c>
      <c r="N265" s="9">
        <f ca="1">'1ERA SERVICIOS GENERALES'!L32</f>
        <v>185</v>
      </c>
      <c r="O265" s="9">
        <f ca="1">'1ERA SERVICIOS GENERALES'!M32</f>
        <v>0</v>
      </c>
      <c r="P265" s="9">
        <f ca="1">'1ERA SERVICIOS GENERALES'!N32</f>
        <v>0</v>
      </c>
      <c r="Q265" s="9">
        <f ca="1">'1ERA SERVICIOS GENERALES'!O32</f>
        <v>0</v>
      </c>
      <c r="R265" s="9">
        <f ca="1">'1ERA SERVICIOS GENERALES'!P32</f>
        <v>0</v>
      </c>
      <c r="S265" s="9">
        <f ca="1">'1ERA SERVICIOS GENERALES'!Q32</f>
        <v>0</v>
      </c>
      <c r="T265" s="9">
        <f ca="1">'1ERA SERVICIOS GENERALES'!R32</f>
        <v>0</v>
      </c>
      <c r="U265" s="9">
        <f ca="1">'1ERA SERVICIOS GENERALES'!S32</f>
        <v>649</v>
      </c>
    </row>
    <row r="266" spans="1:21" ht="39.75" customHeight="1">
      <c r="A266" s="30"/>
      <c r="B266" s="30"/>
      <c r="C266" s="5" t="s">
        <v>306</v>
      </c>
      <c r="D266" s="9">
        <f ca="1">'1ERA SERVICIOS GENERALES'!B33</f>
        <v>1</v>
      </c>
      <c r="E266" s="9">
        <f>'1ERA SERVICIOS GENERALES'!C33</f>
        <v>0</v>
      </c>
      <c r="F266" s="9" t="str">
        <f ca="1">'1ERA SERVICIOS GENERALES'!D33</f>
        <v>ASCENDENTE</v>
      </c>
      <c r="G266" s="9" t="str">
        <f ca="1">'1ERA SERVICIOS GENERALES'!E33</f>
        <v>BITACORA OPERATIVA</v>
      </c>
      <c r="H266" s="9">
        <f ca="1">'1ERA SERVICIOS GENERALES'!F33</f>
        <v>0</v>
      </c>
      <c r="I266" s="9">
        <f ca="1">'1ERA SERVICIOS GENERALES'!G33</f>
        <v>0</v>
      </c>
      <c r="J266" s="9">
        <f ca="1">'1ERA SERVICIOS GENERALES'!H33</f>
        <v>0</v>
      </c>
      <c r="K266" s="9">
        <f ca="1">'1ERA SERVICIOS GENERALES'!I33</f>
        <v>0</v>
      </c>
      <c r="L266" s="9">
        <f ca="1">'1ERA SERVICIOS GENERALES'!J33</f>
        <v>595</v>
      </c>
      <c r="M266" s="9">
        <f ca="1">'1ERA SERVICIOS GENERALES'!K33</f>
        <v>529</v>
      </c>
      <c r="N266" s="9">
        <f ca="1">'1ERA SERVICIOS GENERALES'!L33</f>
        <v>495</v>
      </c>
      <c r="O266" s="9">
        <f ca="1">'1ERA SERVICIOS GENERALES'!M33</f>
        <v>0</v>
      </c>
      <c r="P266" s="9">
        <f ca="1">'1ERA SERVICIOS GENERALES'!N33</f>
        <v>0</v>
      </c>
      <c r="Q266" s="9">
        <f ca="1">'1ERA SERVICIOS GENERALES'!O33</f>
        <v>0</v>
      </c>
      <c r="R266" s="9">
        <f ca="1">'1ERA SERVICIOS GENERALES'!P33</f>
        <v>0</v>
      </c>
      <c r="S266" s="9">
        <f ca="1">'1ERA SERVICIOS GENERALES'!Q33</f>
        <v>0</v>
      </c>
      <c r="T266" s="9">
        <f ca="1">'1ERA SERVICIOS GENERALES'!R33</f>
        <v>0</v>
      </c>
      <c r="U266" s="9">
        <f ca="1">'1ERA SERVICIOS GENERALES'!S33</f>
        <v>1619</v>
      </c>
    </row>
    <row r="267" spans="1:21" ht="39.75" customHeight="1">
      <c r="A267" s="30"/>
      <c r="B267" s="30"/>
      <c r="C267" s="5" t="s">
        <v>307</v>
      </c>
      <c r="D267" s="9">
        <f ca="1">'1ERA SERVICIOS GENERALES'!B34</f>
        <v>1</v>
      </c>
      <c r="E267" s="9">
        <f>'1ERA SERVICIOS GENERALES'!C34</f>
        <v>0</v>
      </c>
      <c r="F267" s="9" t="str">
        <f ca="1">'1ERA SERVICIOS GENERALES'!D34</f>
        <v>ASCENDENTE</v>
      </c>
      <c r="G267" s="9" t="str">
        <f ca="1">'1ERA SERVICIOS GENERALES'!E34</f>
        <v>BITACORA OPERATIVA</v>
      </c>
      <c r="H267" s="9">
        <f ca="1">'1ERA SERVICIOS GENERALES'!F34</f>
        <v>0</v>
      </c>
      <c r="I267" s="9">
        <f ca="1">'1ERA SERVICIOS GENERALES'!G34</f>
        <v>0</v>
      </c>
      <c r="J267" s="9">
        <f ca="1">'1ERA SERVICIOS GENERALES'!H34</f>
        <v>0</v>
      </c>
      <c r="K267" s="9">
        <f ca="1">'1ERA SERVICIOS GENERALES'!I34</f>
        <v>0</v>
      </c>
      <c r="L267" s="9">
        <f ca="1">'1ERA SERVICIOS GENERALES'!J34</f>
        <v>835</v>
      </c>
      <c r="M267" s="9">
        <f ca="1">'1ERA SERVICIOS GENERALES'!K34</f>
        <v>753</v>
      </c>
      <c r="N267" s="9">
        <f ca="1">'1ERA SERVICIOS GENERALES'!L34</f>
        <v>680</v>
      </c>
      <c r="O267" s="9">
        <f ca="1">'1ERA SERVICIOS GENERALES'!M34</f>
        <v>0</v>
      </c>
      <c r="P267" s="9">
        <f ca="1">'1ERA SERVICIOS GENERALES'!N34</f>
        <v>0</v>
      </c>
      <c r="Q267" s="9">
        <f ca="1">'1ERA SERVICIOS GENERALES'!O34</f>
        <v>0</v>
      </c>
      <c r="R267" s="9">
        <f ca="1">'1ERA SERVICIOS GENERALES'!P34</f>
        <v>0</v>
      </c>
      <c r="S267" s="9">
        <f ca="1">'1ERA SERVICIOS GENERALES'!Q34</f>
        <v>0</v>
      </c>
      <c r="T267" s="9">
        <f ca="1">'1ERA SERVICIOS GENERALES'!R34</f>
        <v>0</v>
      </c>
      <c r="U267" s="9">
        <f ca="1">'1ERA SERVICIOS GENERALES'!S34</f>
        <v>2268</v>
      </c>
    </row>
    <row r="268" spans="1:21" ht="39.75" customHeight="1">
      <c r="A268" s="30"/>
      <c r="B268" s="30"/>
      <c r="C268" s="5" t="s">
        <v>308</v>
      </c>
      <c r="D268" s="9">
        <f ca="1">'1ERA SERVICIOS GENERALES'!B35</f>
        <v>1</v>
      </c>
      <c r="E268" s="9">
        <f>'1ERA SERVICIOS GENERALES'!C35</f>
        <v>0</v>
      </c>
      <c r="F268" s="9" t="str">
        <f ca="1">'1ERA SERVICIOS GENERALES'!D35</f>
        <v>ASCENDENTE</v>
      </c>
      <c r="G268" s="9" t="str">
        <f ca="1">'1ERA SERVICIOS GENERALES'!E35</f>
        <v>BITACORA OPERATIVA</v>
      </c>
      <c r="H268" s="9">
        <f ca="1">'1ERA SERVICIOS GENERALES'!F35</f>
        <v>0</v>
      </c>
      <c r="I268" s="9">
        <f ca="1">'1ERA SERVICIOS GENERALES'!G35</f>
        <v>0</v>
      </c>
      <c r="J268" s="9">
        <f ca="1">'1ERA SERVICIOS GENERALES'!H35</f>
        <v>0</v>
      </c>
      <c r="K268" s="9">
        <f ca="1">'1ERA SERVICIOS GENERALES'!I35</f>
        <v>0</v>
      </c>
      <c r="L268" s="9">
        <f ca="1">'1ERA SERVICIOS GENERALES'!J35</f>
        <v>0</v>
      </c>
      <c r="M268" s="9">
        <f ca="1">'1ERA SERVICIOS GENERALES'!K35</f>
        <v>0</v>
      </c>
      <c r="N268" s="9">
        <f ca="1">'1ERA SERVICIOS GENERALES'!L35</f>
        <v>0</v>
      </c>
      <c r="O268" s="9">
        <f ca="1">'1ERA SERVICIOS GENERALES'!M35</f>
        <v>0</v>
      </c>
      <c r="P268" s="9">
        <f ca="1">'1ERA SERVICIOS GENERALES'!N35</f>
        <v>0</v>
      </c>
      <c r="Q268" s="9">
        <f ca="1">'1ERA SERVICIOS GENERALES'!O35</f>
        <v>0</v>
      </c>
      <c r="R268" s="9">
        <f ca="1">'1ERA SERVICIOS GENERALES'!P35</f>
        <v>0</v>
      </c>
      <c r="S268" s="9">
        <f ca="1">'1ERA SERVICIOS GENERALES'!Q35</f>
        <v>0</v>
      </c>
      <c r="T268" s="9">
        <f ca="1">'1ERA SERVICIOS GENERALES'!R35</f>
        <v>0</v>
      </c>
      <c r="U268" s="9">
        <f ca="1">'1ERA SERVICIOS GENERALES'!S35</f>
        <v>0</v>
      </c>
    </row>
    <row r="269" spans="1:21" ht="39.75" customHeight="1">
      <c r="A269" s="30"/>
      <c r="B269" s="30"/>
      <c r="C269" s="5" t="s">
        <v>309</v>
      </c>
      <c r="D269" s="9">
        <f ca="1">'1ERA SERVICIOS GENERALES'!B36</f>
        <v>1</v>
      </c>
      <c r="E269" s="9">
        <f>'1ERA SERVICIOS GENERALES'!C36</f>
        <v>0</v>
      </c>
      <c r="F269" s="9" t="str">
        <f ca="1">'1ERA SERVICIOS GENERALES'!D36</f>
        <v>ASCENDENTE</v>
      </c>
      <c r="G269" s="9" t="str">
        <f ca="1">'1ERA SERVICIOS GENERALES'!E36</f>
        <v>BITACORA OPERATIVA</v>
      </c>
      <c r="H269" s="9">
        <f ca="1">'1ERA SERVICIOS GENERALES'!F36</f>
        <v>0</v>
      </c>
      <c r="I269" s="9">
        <f ca="1">'1ERA SERVICIOS GENERALES'!G36</f>
        <v>0</v>
      </c>
      <c r="J269" s="9">
        <f ca="1">'1ERA SERVICIOS GENERALES'!H36</f>
        <v>0</v>
      </c>
      <c r="K269" s="9">
        <f ca="1">'1ERA SERVICIOS GENERALES'!I36</f>
        <v>0</v>
      </c>
      <c r="L269" s="9">
        <f ca="1">'1ERA SERVICIOS GENERALES'!J36</f>
        <v>0</v>
      </c>
      <c r="M269" s="9">
        <f ca="1">'1ERA SERVICIOS GENERALES'!K36</f>
        <v>0</v>
      </c>
      <c r="N269" s="9">
        <f ca="1">'1ERA SERVICIOS GENERALES'!L36</f>
        <v>0</v>
      </c>
      <c r="O269" s="9">
        <f ca="1">'1ERA SERVICIOS GENERALES'!M36</f>
        <v>0</v>
      </c>
      <c r="P269" s="9">
        <f ca="1">'1ERA SERVICIOS GENERALES'!N36</f>
        <v>0</v>
      </c>
      <c r="Q269" s="9">
        <f ca="1">'1ERA SERVICIOS GENERALES'!O36</f>
        <v>0</v>
      </c>
      <c r="R269" s="9">
        <f ca="1">'1ERA SERVICIOS GENERALES'!P36</f>
        <v>0</v>
      </c>
      <c r="S269" s="9">
        <f ca="1">'1ERA SERVICIOS GENERALES'!Q36</f>
        <v>0</v>
      </c>
      <c r="T269" s="9">
        <f ca="1">'1ERA SERVICIOS GENERALES'!R36</f>
        <v>0</v>
      </c>
      <c r="U269" s="9">
        <f ca="1">'1ERA SERVICIOS GENERALES'!S36</f>
        <v>0</v>
      </c>
    </row>
    <row r="270" spans="1:21" ht="39.75" customHeight="1">
      <c r="A270" s="30"/>
      <c r="B270" s="30"/>
      <c r="C270" s="5" t="s">
        <v>310</v>
      </c>
      <c r="D270" s="9">
        <f ca="1">'1ERA SERVICIOS GENERALES'!B37</f>
        <v>1</v>
      </c>
      <c r="E270" s="9">
        <f>'1ERA SERVICIOS GENERALES'!C37</f>
        <v>0</v>
      </c>
      <c r="F270" s="9" t="str">
        <f ca="1">'1ERA SERVICIOS GENERALES'!D37</f>
        <v>ASCENDENTE</v>
      </c>
      <c r="G270" s="9" t="str">
        <f ca="1">'1ERA SERVICIOS GENERALES'!E37</f>
        <v>BITACORA OPERATIVA</v>
      </c>
      <c r="H270" s="9">
        <f ca="1">'1ERA SERVICIOS GENERALES'!F37</f>
        <v>0</v>
      </c>
      <c r="I270" s="9">
        <f ca="1">'1ERA SERVICIOS GENERALES'!G37</f>
        <v>0</v>
      </c>
      <c r="J270" s="9">
        <f ca="1">'1ERA SERVICIOS GENERALES'!H37</f>
        <v>0</v>
      </c>
      <c r="K270" s="9">
        <f ca="1">'1ERA SERVICIOS GENERALES'!I37</f>
        <v>0</v>
      </c>
      <c r="L270" s="9">
        <f ca="1">'1ERA SERVICIOS GENERALES'!J37</f>
        <v>0</v>
      </c>
      <c r="M270" s="9">
        <f ca="1">'1ERA SERVICIOS GENERALES'!K37</f>
        <v>0</v>
      </c>
      <c r="N270" s="9">
        <f ca="1">'1ERA SERVICIOS GENERALES'!L37</f>
        <v>0</v>
      </c>
      <c r="O270" s="9">
        <f ca="1">'1ERA SERVICIOS GENERALES'!M37</f>
        <v>0</v>
      </c>
      <c r="P270" s="9">
        <f ca="1">'1ERA SERVICIOS GENERALES'!N37</f>
        <v>0</v>
      </c>
      <c r="Q270" s="9">
        <f ca="1">'1ERA SERVICIOS GENERALES'!O37</f>
        <v>0</v>
      </c>
      <c r="R270" s="9">
        <f ca="1">'1ERA SERVICIOS GENERALES'!P37</f>
        <v>0</v>
      </c>
      <c r="S270" s="9">
        <f ca="1">'1ERA SERVICIOS GENERALES'!Q37</f>
        <v>0</v>
      </c>
      <c r="T270" s="9">
        <f ca="1">'1ERA SERVICIOS GENERALES'!R37</f>
        <v>0</v>
      </c>
      <c r="U270" s="9">
        <f ca="1">'1ERA SERVICIOS GENERALES'!S37</f>
        <v>0</v>
      </c>
    </row>
    <row r="271" spans="1:21" ht="39.75" customHeight="1">
      <c r="A271" s="30"/>
      <c r="B271" s="30"/>
      <c r="C271" s="5" t="s">
        <v>311</v>
      </c>
      <c r="D271" s="9">
        <f ca="1">'1ERA SERVICIOS GENERALES'!B38</f>
        <v>1</v>
      </c>
      <c r="E271" s="9">
        <f>'1ERA SERVICIOS GENERALES'!C38</f>
        <v>0</v>
      </c>
      <c r="F271" s="9" t="str">
        <f ca="1">'1ERA SERVICIOS GENERALES'!D38</f>
        <v>ASCENDENTE</v>
      </c>
      <c r="G271" s="9" t="str">
        <f ca="1">'1ERA SERVICIOS GENERALES'!E38</f>
        <v>BITACORA OPERATIVA</v>
      </c>
      <c r="H271" s="9">
        <f ca="1">'1ERA SERVICIOS GENERALES'!F38</f>
        <v>0</v>
      </c>
      <c r="I271" s="9">
        <f ca="1">'1ERA SERVICIOS GENERALES'!G38</f>
        <v>0</v>
      </c>
      <c r="J271" s="9">
        <f ca="1">'1ERA SERVICIOS GENERALES'!H38</f>
        <v>0</v>
      </c>
      <c r="K271" s="9">
        <f ca="1">'1ERA SERVICIOS GENERALES'!I38</f>
        <v>0</v>
      </c>
      <c r="L271" s="9">
        <f ca="1">'1ERA SERVICIOS GENERALES'!J38</f>
        <v>0</v>
      </c>
      <c r="M271" s="9">
        <f ca="1">'1ERA SERVICIOS GENERALES'!K38</f>
        <v>0</v>
      </c>
      <c r="N271" s="9">
        <f ca="1">'1ERA SERVICIOS GENERALES'!L38</f>
        <v>0</v>
      </c>
      <c r="O271" s="9">
        <f ca="1">'1ERA SERVICIOS GENERALES'!M38</f>
        <v>0</v>
      </c>
      <c r="P271" s="9">
        <f ca="1">'1ERA SERVICIOS GENERALES'!N38</f>
        <v>0</v>
      </c>
      <c r="Q271" s="9">
        <f ca="1">'1ERA SERVICIOS GENERALES'!O38</f>
        <v>0</v>
      </c>
      <c r="R271" s="9">
        <f ca="1">'1ERA SERVICIOS GENERALES'!P38</f>
        <v>0</v>
      </c>
      <c r="S271" s="9">
        <f ca="1">'1ERA SERVICIOS GENERALES'!Q38</f>
        <v>0</v>
      </c>
      <c r="T271" s="9">
        <f ca="1">'1ERA SERVICIOS GENERALES'!R38</f>
        <v>0</v>
      </c>
      <c r="U271" s="9">
        <f ca="1">'1ERA SERVICIOS GENERALES'!S38</f>
        <v>0</v>
      </c>
    </row>
    <row r="272" spans="1:21" ht="39.75" customHeight="1">
      <c r="A272" s="30"/>
      <c r="B272" s="30"/>
      <c r="C272" s="5" t="s">
        <v>312</v>
      </c>
      <c r="D272" s="9">
        <f ca="1">'1ERA SERVICIOS GENERALES'!B39</f>
        <v>1</v>
      </c>
      <c r="E272" s="9">
        <f>'1ERA SERVICIOS GENERALES'!C39</f>
        <v>0</v>
      </c>
      <c r="F272" s="9" t="str">
        <f ca="1">'1ERA SERVICIOS GENERALES'!D39</f>
        <v>ASCENDENTE</v>
      </c>
      <c r="G272" s="9" t="str">
        <f ca="1">'1ERA SERVICIOS GENERALES'!E39</f>
        <v>BITACORA OPERATIVA</v>
      </c>
      <c r="H272" s="9">
        <f ca="1">'1ERA SERVICIOS GENERALES'!F39</f>
        <v>0</v>
      </c>
      <c r="I272" s="9">
        <f ca="1">'1ERA SERVICIOS GENERALES'!G39</f>
        <v>0</v>
      </c>
      <c r="J272" s="9">
        <f ca="1">'1ERA SERVICIOS GENERALES'!H39</f>
        <v>0</v>
      </c>
      <c r="K272" s="9">
        <f ca="1">'1ERA SERVICIOS GENERALES'!I39</f>
        <v>0</v>
      </c>
      <c r="L272" s="9">
        <f ca="1">'1ERA SERVICIOS GENERALES'!J39</f>
        <v>0</v>
      </c>
      <c r="M272" s="9">
        <f ca="1">'1ERA SERVICIOS GENERALES'!K39</f>
        <v>0</v>
      </c>
      <c r="N272" s="9">
        <f ca="1">'1ERA SERVICIOS GENERALES'!L39</f>
        <v>0</v>
      </c>
      <c r="O272" s="9">
        <f ca="1">'1ERA SERVICIOS GENERALES'!M39</f>
        <v>0</v>
      </c>
      <c r="P272" s="9">
        <f ca="1">'1ERA SERVICIOS GENERALES'!N39</f>
        <v>0</v>
      </c>
      <c r="Q272" s="9">
        <f ca="1">'1ERA SERVICIOS GENERALES'!O39</f>
        <v>0</v>
      </c>
      <c r="R272" s="9">
        <f ca="1">'1ERA SERVICIOS GENERALES'!P39</f>
        <v>0</v>
      </c>
      <c r="S272" s="9">
        <f ca="1">'1ERA SERVICIOS GENERALES'!Q39</f>
        <v>0</v>
      </c>
      <c r="T272" s="9">
        <f ca="1">'1ERA SERVICIOS GENERALES'!R39</f>
        <v>0</v>
      </c>
      <c r="U272" s="9">
        <f ca="1">'1ERA SERVICIOS GENERALES'!S39</f>
        <v>0</v>
      </c>
    </row>
    <row r="273" spans="1:21" ht="39.75" customHeight="1">
      <c r="A273" s="30"/>
      <c r="B273" s="30"/>
      <c r="C273" s="5" t="s">
        <v>313</v>
      </c>
      <c r="D273" s="9">
        <f ca="1">'1ERA SERVICIOS GENERALES'!B40</f>
        <v>1</v>
      </c>
      <c r="E273" s="9">
        <f>'1ERA SERVICIOS GENERALES'!C40</f>
        <v>0</v>
      </c>
      <c r="F273" s="9" t="str">
        <f ca="1">'1ERA SERVICIOS GENERALES'!D40</f>
        <v>ASCENDENTE</v>
      </c>
      <c r="G273" s="9" t="str">
        <f ca="1">'1ERA SERVICIOS GENERALES'!E40</f>
        <v>BITACORA OPERATIVA</v>
      </c>
      <c r="H273" s="9">
        <f ca="1">'1ERA SERVICIOS GENERALES'!F40</f>
        <v>0</v>
      </c>
      <c r="I273" s="9">
        <f ca="1">'1ERA SERVICIOS GENERALES'!G40</f>
        <v>0</v>
      </c>
      <c r="J273" s="9">
        <f ca="1">'1ERA SERVICIOS GENERALES'!H40</f>
        <v>0</v>
      </c>
      <c r="K273" s="9">
        <f ca="1">'1ERA SERVICIOS GENERALES'!I40</f>
        <v>0</v>
      </c>
      <c r="L273" s="9">
        <f ca="1">'1ERA SERVICIOS GENERALES'!J40</f>
        <v>0</v>
      </c>
      <c r="M273" s="9">
        <f ca="1">'1ERA SERVICIOS GENERALES'!K40</f>
        <v>0</v>
      </c>
      <c r="N273" s="9">
        <f ca="1">'1ERA SERVICIOS GENERALES'!L40</f>
        <v>0</v>
      </c>
      <c r="O273" s="9">
        <f ca="1">'1ERA SERVICIOS GENERALES'!M40</f>
        <v>0</v>
      </c>
      <c r="P273" s="9">
        <f ca="1">'1ERA SERVICIOS GENERALES'!N40</f>
        <v>0</v>
      </c>
      <c r="Q273" s="9">
        <f ca="1">'1ERA SERVICIOS GENERALES'!O40</f>
        <v>0</v>
      </c>
      <c r="R273" s="9">
        <f ca="1">'1ERA SERVICIOS GENERALES'!P40</f>
        <v>0</v>
      </c>
      <c r="S273" s="9">
        <f ca="1">'1ERA SERVICIOS GENERALES'!Q40</f>
        <v>0</v>
      </c>
      <c r="T273" s="9">
        <f ca="1">'1ERA SERVICIOS GENERALES'!R40</f>
        <v>0</v>
      </c>
      <c r="U273" s="9">
        <f ca="1">'1ERA SERVICIOS GENERALES'!S40</f>
        <v>0</v>
      </c>
    </row>
    <row r="274" spans="1:21" ht="39.75" customHeight="1">
      <c r="A274" s="30"/>
      <c r="B274" s="30"/>
      <c r="C274" s="5" t="s">
        <v>314</v>
      </c>
      <c r="D274" s="9">
        <f ca="1">'1ERA SERVICIOS GENERALES'!B41</f>
        <v>1</v>
      </c>
      <c r="E274" s="9">
        <f>'1ERA SERVICIOS GENERALES'!C41</f>
        <v>0</v>
      </c>
      <c r="F274" s="9" t="str">
        <f ca="1">'1ERA SERVICIOS GENERALES'!D41</f>
        <v>ASCENDENTE</v>
      </c>
      <c r="G274" s="9" t="str">
        <f ca="1">'1ERA SERVICIOS GENERALES'!E41</f>
        <v>BITACORA OPERATIVA</v>
      </c>
      <c r="H274" s="9">
        <f ca="1">'1ERA SERVICIOS GENERALES'!F41</f>
        <v>0</v>
      </c>
      <c r="I274" s="9">
        <f ca="1">'1ERA SERVICIOS GENERALES'!G41</f>
        <v>0</v>
      </c>
      <c r="J274" s="9">
        <f ca="1">'1ERA SERVICIOS GENERALES'!H41</f>
        <v>0</v>
      </c>
      <c r="K274" s="9">
        <f ca="1">'1ERA SERVICIOS GENERALES'!I41</f>
        <v>0</v>
      </c>
      <c r="L274" s="9">
        <f ca="1">'1ERA SERVICIOS GENERALES'!J41</f>
        <v>0</v>
      </c>
      <c r="M274" s="9">
        <f ca="1">'1ERA SERVICIOS GENERALES'!K41</f>
        <v>0</v>
      </c>
      <c r="N274" s="9">
        <f ca="1">'1ERA SERVICIOS GENERALES'!L41</f>
        <v>0</v>
      </c>
      <c r="O274" s="9">
        <f ca="1">'1ERA SERVICIOS GENERALES'!M41</f>
        <v>0</v>
      </c>
      <c r="P274" s="9">
        <f ca="1">'1ERA SERVICIOS GENERALES'!N41</f>
        <v>0</v>
      </c>
      <c r="Q274" s="9">
        <f ca="1">'1ERA SERVICIOS GENERALES'!O41</f>
        <v>0</v>
      </c>
      <c r="R274" s="9">
        <f ca="1">'1ERA SERVICIOS GENERALES'!P41</f>
        <v>0</v>
      </c>
      <c r="S274" s="9">
        <f ca="1">'1ERA SERVICIOS GENERALES'!Q41</f>
        <v>0</v>
      </c>
      <c r="T274" s="9">
        <f ca="1">'1ERA SERVICIOS GENERALES'!R41</f>
        <v>0</v>
      </c>
      <c r="U274" s="9">
        <f ca="1">'1ERA SERVICIOS GENERALES'!S41</f>
        <v>0</v>
      </c>
    </row>
    <row r="275" spans="1:21" ht="39.75" customHeight="1">
      <c r="A275" s="30"/>
      <c r="B275" s="31"/>
      <c r="C275" s="5" t="s">
        <v>315</v>
      </c>
      <c r="D275" s="9">
        <f ca="1">'1ERA SERVICIOS GENERALES'!B42</f>
        <v>1</v>
      </c>
      <c r="E275" s="9">
        <f>'1ERA SERVICIOS GENERALES'!C42</f>
        <v>0</v>
      </c>
      <c r="F275" s="9" t="str">
        <f ca="1">'1ERA SERVICIOS GENERALES'!D42</f>
        <v>ASCENDENTE</v>
      </c>
      <c r="G275" s="9" t="str">
        <f ca="1">'1ERA SERVICIOS GENERALES'!E42</f>
        <v>BITACORA OPERATIVA</v>
      </c>
      <c r="H275" s="9">
        <f ca="1">'1ERA SERVICIOS GENERALES'!F42</f>
        <v>0</v>
      </c>
      <c r="I275" s="9">
        <f ca="1">'1ERA SERVICIOS GENERALES'!G42</f>
        <v>0</v>
      </c>
      <c r="J275" s="9">
        <f ca="1">'1ERA SERVICIOS GENERALES'!H42</f>
        <v>0</v>
      </c>
      <c r="K275" s="9">
        <f ca="1">'1ERA SERVICIOS GENERALES'!I42</f>
        <v>0</v>
      </c>
      <c r="L275" s="9">
        <f ca="1">'1ERA SERVICIOS GENERALES'!J42</f>
        <v>0</v>
      </c>
      <c r="M275" s="9">
        <f ca="1">'1ERA SERVICIOS GENERALES'!K42</f>
        <v>0</v>
      </c>
      <c r="N275" s="9">
        <f ca="1">'1ERA SERVICIOS GENERALES'!L42</f>
        <v>0</v>
      </c>
      <c r="O275" s="9">
        <f ca="1">'1ERA SERVICIOS GENERALES'!M42</f>
        <v>0</v>
      </c>
      <c r="P275" s="9">
        <f ca="1">'1ERA SERVICIOS GENERALES'!N42</f>
        <v>0</v>
      </c>
      <c r="Q275" s="9">
        <f ca="1">'1ERA SERVICIOS GENERALES'!O42</f>
        <v>0</v>
      </c>
      <c r="R275" s="9">
        <f ca="1">'1ERA SERVICIOS GENERALES'!P42</f>
        <v>0</v>
      </c>
      <c r="S275" s="9">
        <f ca="1">'1ERA SERVICIOS GENERALES'!Q42</f>
        <v>0</v>
      </c>
      <c r="T275" s="9">
        <f ca="1">'1ERA SERVICIOS GENERALES'!R42</f>
        <v>0</v>
      </c>
      <c r="U275" s="9">
        <f ca="1">'1ERA SERVICIOS GENERALES'!S42</f>
        <v>0</v>
      </c>
    </row>
    <row r="276" spans="1:21" ht="39.75" customHeight="1">
      <c r="A276" s="30"/>
      <c r="B276" s="32" t="s">
        <v>316</v>
      </c>
      <c r="C276" s="5" t="s">
        <v>317</v>
      </c>
      <c r="D276" s="9">
        <f ca="1">'1ERA SERVICIOS GENERALES'!B43</f>
        <v>1</v>
      </c>
      <c r="E276" s="9">
        <f>'1ERA SERVICIOS GENERALES'!C43</f>
        <v>0</v>
      </c>
      <c r="F276" s="9" t="str">
        <f ca="1">'1ERA SERVICIOS GENERALES'!D43</f>
        <v>ASCENDENTE</v>
      </c>
      <c r="G276" s="9" t="str">
        <f ca="1">'1ERA SERVICIOS GENERALES'!E43</f>
        <v>BITACORA OPERATIVA</v>
      </c>
      <c r="H276" s="9">
        <f ca="1">'1ERA SERVICIOS GENERALES'!F43</f>
        <v>0</v>
      </c>
      <c r="I276" s="9">
        <f ca="1">'1ERA SERVICIOS GENERALES'!G43</f>
        <v>0</v>
      </c>
      <c r="J276" s="9">
        <f ca="1">'1ERA SERVICIOS GENERALES'!H43</f>
        <v>0</v>
      </c>
      <c r="K276" s="9">
        <f ca="1">'1ERA SERVICIOS GENERALES'!I43</f>
        <v>0</v>
      </c>
      <c r="L276" s="9">
        <f ca="1">'1ERA SERVICIOS GENERALES'!J43</f>
        <v>0</v>
      </c>
      <c r="M276" s="9">
        <f ca="1">'1ERA SERVICIOS GENERALES'!K43</f>
        <v>86</v>
      </c>
      <c r="N276" s="9">
        <f ca="1">'1ERA SERVICIOS GENERALES'!L43</f>
        <v>93</v>
      </c>
      <c r="O276" s="9">
        <f ca="1">'1ERA SERVICIOS GENERALES'!M43</f>
        <v>0</v>
      </c>
      <c r="P276" s="9">
        <f ca="1">'1ERA SERVICIOS GENERALES'!N43</f>
        <v>0</v>
      </c>
      <c r="Q276" s="9">
        <f ca="1">'1ERA SERVICIOS GENERALES'!O43</f>
        <v>0</v>
      </c>
      <c r="R276" s="9">
        <f ca="1">'1ERA SERVICIOS GENERALES'!P43</f>
        <v>0</v>
      </c>
      <c r="S276" s="9">
        <f ca="1">'1ERA SERVICIOS GENERALES'!Q43</f>
        <v>0</v>
      </c>
      <c r="T276" s="9">
        <f ca="1">'1ERA SERVICIOS GENERALES'!R43</f>
        <v>0</v>
      </c>
      <c r="U276" s="9">
        <f ca="1">'1ERA SERVICIOS GENERALES'!S43</f>
        <v>179</v>
      </c>
    </row>
    <row r="277" spans="1:21" ht="39.75" customHeight="1">
      <c r="A277" s="30"/>
      <c r="B277" s="30"/>
      <c r="C277" s="5" t="s">
        <v>318</v>
      </c>
      <c r="D277" s="9">
        <f ca="1">'1ERA SERVICIOS GENERALES'!B44</f>
        <v>1</v>
      </c>
      <c r="E277" s="9">
        <f>'1ERA SERVICIOS GENERALES'!C44</f>
        <v>0</v>
      </c>
      <c r="F277" s="9" t="str">
        <f ca="1">'1ERA SERVICIOS GENERALES'!D44</f>
        <v>ASCENDENTE</v>
      </c>
      <c r="G277" s="9" t="str">
        <f ca="1">'1ERA SERVICIOS GENERALES'!E44</f>
        <v>BITACORA OPERATIVA</v>
      </c>
      <c r="H277" s="9">
        <f ca="1">'1ERA SERVICIOS GENERALES'!F44</f>
        <v>0</v>
      </c>
      <c r="I277" s="9">
        <f ca="1">'1ERA SERVICIOS GENERALES'!G44</f>
        <v>0</v>
      </c>
      <c r="J277" s="9">
        <f ca="1">'1ERA SERVICIOS GENERALES'!H44</f>
        <v>0</v>
      </c>
      <c r="K277" s="9">
        <f ca="1">'1ERA SERVICIOS GENERALES'!I44</f>
        <v>0</v>
      </c>
      <c r="L277" s="9">
        <f ca="1">'1ERA SERVICIOS GENERALES'!J44</f>
        <v>0</v>
      </c>
      <c r="M277" s="9">
        <f ca="1">'1ERA SERVICIOS GENERALES'!K44</f>
        <v>97</v>
      </c>
      <c r="N277" s="9">
        <f ca="1">'1ERA SERVICIOS GENERALES'!L44</f>
        <v>83</v>
      </c>
      <c r="O277" s="9">
        <f ca="1">'1ERA SERVICIOS GENERALES'!M44</f>
        <v>0</v>
      </c>
      <c r="P277" s="9">
        <f ca="1">'1ERA SERVICIOS GENERALES'!N44</f>
        <v>0</v>
      </c>
      <c r="Q277" s="9">
        <f ca="1">'1ERA SERVICIOS GENERALES'!O44</f>
        <v>0</v>
      </c>
      <c r="R277" s="9">
        <f ca="1">'1ERA SERVICIOS GENERALES'!P44</f>
        <v>0</v>
      </c>
      <c r="S277" s="9">
        <f ca="1">'1ERA SERVICIOS GENERALES'!Q44</f>
        <v>0</v>
      </c>
      <c r="T277" s="9">
        <f ca="1">'1ERA SERVICIOS GENERALES'!R44</f>
        <v>0</v>
      </c>
      <c r="U277" s="9">
        <f ca="1">'1ERA SERVICIOS GENERALES'!S44</f>
        <v>180</v>
      </c>
    </row>
    <row r="278" spans="1:21" ht="39.75" customHeight="1">
      <c r="A278" s="30"/>
      <c r="B278" s="30"/>
      <c r="C278" s="5" t="s">
        <v>319</v>
      </c>
      <c r="D278" s="9">
        <f ca="1">'1ERA SERVICIOS GENERALES'!B45</f>
        <v>1</v>
      </c>
      <c r="E278" s="9">
        <f>'1ERA SERVICIOS GENERALES'!C45</f>
        <v>0</v>
      </c>
      <c r="F278" s="9" t="str">
        <f ca="1">'1ERA SERVICIOS GENERALES'!D45</f>
        <v>ASCENDENTE</v>
      </c>
      <c r="G278" s="9" t="str">
        <f ca="1">'1ERA SERVICIOS GENERALES'!E45</f>
        <v>BITACORA OPERATIVA</v>
      </c>
      <c r="H278" s="9">
        <f ca="1">'1ERA SERVICIOS GENERALES'!F45</f>
        <v>0</v>
      </c>
      <c r="I278" s="9">
        <f ca="1">'1ERA SERVICIOS GENERALES'!G45</f>
        <v>0</v>
      </c>
      <c r="J278" s="9">
        <f ca="1">'1ERA SERVICIOS GENERALES'!H45</f>
        <v>0</v>
      </c>
      <c r="K278" s="9">
        <f ca="1">'1ERA SERVICIOS GENERALES'!I45</f>
        <v>0</v>
      </c>
      <c r="L278" s="9">
        <f ca="1">'1ERA SERVICIOS GENERALES'!J45</f>
        <v>0</v>
      </c>
      <c r="M278" s="9">
        <f ca="1">'1ERA SERVICIOS GENERALES'!K45</f>
        <v>0</v>
      </c>
      <c r="N278" s="9">
        <f ca="1">'1ERA SERVICIOS GENERALES'!L45</f>
        <v>9</v>
      </c>
      <c r="O278" s="9">
        <f ca="1">'1ERA SERVICIOS GENERALES'!M45</f>
        <v>0</v>
      </c>
      <c r="P278" s="9">
        <f ca="1">'1ERA SERVICIOS GENERALES'!N45</f>
        <v>0</v>
      </c>
      <c r="Q278" s="9">
        <f ca="1">'1ERA SERVICIOS GENERALES'!O45</f>
        <v>0</v>
      </c>
      <c r="R278" s="9">
        <f ca="1">'1ERA SERVICIOS GENERALES'!P45</f>
        <v>0</v>
      </c>
      <c r="S278" s="9">
        <f ca="1">'1ERA SERVICIOS GENERALES'!Q45</f>
        <v>0</v>
      </c>
      <c r="T278" s="9">
        <f ca="1">'1ERA SERVICIOS GENERALES'!R45</f>
        <v>0</v>
      </c>
      <c r="U278" s="9">
        <f ca="1">'1ERA SERVICIOS GENERALES'!S45</f>
        <v>9</v>
      </c>
    </row>
    <row r="279" spans="1:21" ht="39.75" customHeight="1">
      <c r="A279" s="30"/>
      <c r="B279" s="30"/>
      <c r="C279" s="5" t="s">
        <v>320</v>
      </c>
      <c r="D279" s="9">
        <f ca="1">'1ERA SERVICIOS GENERALES'!B46</f>
        <v>1</v>
      </c>
      <c r="E279" s="9">
        <f>'1ERA SERVICIOS GENERALES'!C46</f>
        <v>0</v>
      </c>
      <c r="F279" s="9" t="str">
        <f ca="1">'1ERA SERVICIOS GENERALES'!D46</f>
        <v>ASCENDENTE</v>
      </c>
      <c r="G279" s="9" t="str">
        <f ca="1">'1ERA SERVICIOS GENERALES'!E46</f>
        <v>BITACORA OPERATIVA</v>
      </c>
      <c r="H279" s="9">
        <f ca="1">'1ERA SERVICIOS GENERALES'!F46</f>
        <v>0</v>
      </c>
      <c r="I279" s="9">
        <f ca="1">'1ERA SERVICIOS GENERALES'!G46</f>
        <v>0</v>
      </c>
      <c r="J279" s="9">
        <f ca="1">'1ERA SERVICIOS GENERALES'!H46</f>
        <v>0</v>
      </c>
      <c r="K279" s="9">
        <f ca="1">'1ERA SERVICIOS GENERALES'!I46</f>
        <v>0</v>
      </c>
      <c r="L279" s="9">
        <f ca="1">'1ERA SERVICIOS GENERALES'!J46</f>
        <v>0</v>
      </c>
      <c r="M279" s="9">
        <f ca="1">'1ERA SERVICIOS GENERALES'!K46</f>
        <v>5</v>
      </c>
      <c r="N279" s="9">
        <f ca="1">'1ERA SERVICIOS GENERALES'!L46</f>
        <v>0</v>
      </c>
      <c r="O279" s="9">
        <f ca="1">'1ERA SERVICIOS GENERALES'!M46</f>
        <v>0</v>
      </c>
      <c r="P279" s="9">
        <f ca="1">'1ERA SERVICIOS GENERALES'!N46</f>
        <v>0</v>
      </c>
      <c r="Q279" s="9">
        <f ca="1">'1ERA SERVICIOS GENERALES'!O46</f>
        <v>0</v>
      </c>
      <c r="R279" s="9">
        <f ca="1">'1ERA SERVICIOS GENERALES'!P46</f>
        <v>0</v>
      </c>
      <c r="S279" s="9">
        <f ca="1">'1ERA SERVICIOS GENERALES'!Q46</f>
        <v>0</v>
      </c>
      <c r="T279" s="9">
        <f ca="1">'1ERA SERVICIOS GENERALES'!R46</f>
        <v>0</v>
      </c>
      <c r="U279" s="9">
        <f ca="1">'1ERA SERVICIOS GENERALES'!S46</f>
        <v>5</v>
      </c>
    </row>
    <row r="280" spans="1:21" ht="39.75" customHeight="1">
      <c r="A280" s="30"/>
      <c r="B280" s="30"/>
      <c r="C280" s="5" t="s">
        <v>321</v>
      </c>
      <c r="D280" s="9">
        <f ca="1">'1ERA SERVICIOS GENERALES'!B47</f>
        <v>1</v>
      </c>
      <c r="E280" s="9">
        <f>'1ERA SERVICIOS GENERALES'!C47</f>
        <v>0</v>
      </c>
      <c r="F280" s="9" t="str">
        <f ca="1">'1ERA SERVICIOS GENERALES'!D47</f>
        <v>ASCENDENTE</v>
      </c>
      <c r="G280" s="9" t="str">
        <f ca="1">'1ERA SERVICIOS GENERALES'!E47</f>
        <v>BITACORA OPERATIVA</v>
      </c>
      <c r="H280" s="9">
        <f ca="1">'1ERA SERVICIOS GENERALES'!F47</f>
        <v>0</v>
      </c>
      <c r="I280" s="9">
        <f ca="1">'1ERA SERVICIOS GENERALES'!G47</f>
        <v>0</v>
      </c>
      <c r="J280" s="9">
        <f ca="1">'1ERA SERVICIOS GENERALES'!H47</f>
        <v>0</v>
      </c>
      <c r="K280" s="9">
        <f ca="1">'1ERA SERVICIOS GENERALES'!I47</f>
        <v>0</v>
      </c>
      <c r="L280" s="9">
        <f ca="1">'1ERA SERVICIOS GENERALES'!J47</f>
        <v>0</v>
      </c>
      <c r="M280" s="9">
        <f ca="1">'1ERA SERVICIOS GENERALES'!K47</f>
        <v>6</v>
      </c>
      <c r="N280" s="9">
        <f ca="1">'1ERA SERVICIOS GENERALES'!L47</f>
        <v>5</v>
      </c>
      <c r="O280" s="9">
        <f ca="1">'1ERA SERVICIOS GENERALES'!M47</f>
        <v>0</v>
      </c>
      <c r="P280" s="9">
        <f ca="1">'1ERA SERVICIOS GENERALES'!N47</f>
        <v>0</v>
      </c>
      <c r="Q280" s="9">
        <f ca="1">'1ERA SERVICIOS GENERALES'!O47</f>
        <v>0</v>
      </c>
      <c r="R280" s="9">
        <f ca="1">'1ERA SERVICIOS GENERALES'!P47</f>
        <v>0</v>
      </c>
      <c r="S280" s="9">
        <f ca="1">'1ERA SERVICIOS GENERALES'!Q47</f>
        <v>0</v>
      </c>
      <c r="T280" s="9">
        <f ca="1">'1ERA SERVICIOS GENERALES'!R47</f>
        <v>0</v>
      </c>
      <c r="U280" s="9">
        <f ca="1">'1ERA SERVICIOS GENERALES'!S47</f>
        <v>11</v>
      </c>
    </row>
    <row r="281" spans="1:21" ht="39.75" customHeight="1">
      <c r="A281" s="30"/>
      <c r="B281" s="30"/>
      <c r="C281" s="5" t="s">
        <v>322</v>
      </c>
      <c r="D281" s="9">
        <f ca="1">'1ERA SERVICIOS GENERALES'!B48</f>
        <v>1</v>
      </c>
      <c r="E281" s="9">
        <f>'1ERA SERVICIOS GENERALES'!C48</f>
        <v>0</v>
      </c>
      <c r="F281" s="9" t="str">
        <f ca="1">'1ERA SERVICIOS GENERALES'!D48</f>
        <v>ASCENDENTE</v>
      </c>
      <c r="G281" s="9" t="str">
        <f ca="1">'1ERA SERVICIOS GENERALES'!E48</f>
        <v>BITACORA OPERATIVA</v>
      </c>
      <c r="H281" s="9">
        <f ca="1">'1ERA SERVICIOS GENERALES'!F48</f>
        <v>0</v>
      </c>
      <c r="I281" s="9">
        <f ca="1">'1ERA SERVICIOS GENERALES'!G48</f>
        <v>0</v>
      </c>
      <c r="J281" s="9">
        <f ca="1">'1ERA SERVICIOS GENERALES'!H48</f>
        <v>0</v>
      </c>
      <c r="K281" s="9">
        <f ca="1">'1ERA SERVICIOS GENERALES'!I48</f>
        <v>0</v>
      </c>
      <c r="L281" s="9">
        <f ca="1">'1ERA SERVICIOS GENERALES'!J48</f>
        <v>0</v>
      </c>
      <c r="M281" s="9">
        <f ca="1">'1ERA SERVICIOS GENERALES'!K48</f>
        <v>0</v>
      </c>
      <c r="N281" s="9">
        <f ca="1">'1ERA SERVICIOS GENERALES'!L48</f>
        <v>0</v>
      </c>
      <c r="O281" s="9">
        <f ca="1">'1ERA SERVICIOS GENERALES'!M48</f>
        <v>0</v>
      </c>
      <c r="P281" s="9">
        <f ca="1">'1ERA SERVICIOS GENERALES'!N48</f>
        <v>0</v>
      </c>
      <c r="Q281" s="9">
        <f ca="1">'1ERA SERVICIOS GENERALES'!O48</f>
        <v>0</v>
      </c>
      <c r="R281" s="9">
        <f ca="1">'1ERA SERVICIOS GENERALES'!P48</f>
        <v>0</v>
      </c>
      <c r="S281" s="9">
        <f ca="1">'1ERA SERVICIOS GENERALES'!Q48</f>
        <v>0</v>
      </c>
      <c r="T281" s="9">
        <f ca="1">'1ERA SERVICIOS GENERALES'!R48</f>
        <v>0</v>
      </c>
      <c r="U281" s="9">
        <f ca="1">'1ERA SERVICIOS GENERALES'!S48</f>
        <v>0</v>
      </c>
    </row>
    <row r="282" spans="1:21" ht="39.75" customHeight="1">
      <c r="A282" s="30"/>
      <c r="B282" s="30"/>
      <c r="C282" s="5" t="s">
        <v>323</v>
      </c>
      <c r="D282" s="9">
        <f ca="1">'1ERA SERVICIOS GENERALES'!B49</f>
        <v>1</v>
      </c>
      <c r="E282" s="9">
        <f>'1ERA SERVICIOS GENERALES'!C49</f>
        <v>0</v>
      </c>
      <c r="F282" s="9" t="str">
        <f ca="1">'1ERA SERVICIOS GENERALES'!D49</f>
        <v>ASCENDENTE</v>
      </c>
      <c r="G282" s="9" t="str">
        <f ca="1">'1ERA SERVICIOS GENERALES'!E49</f>
        <v>BITACORA OPERATIVA</v>
      </c>
      <c r="H282" s="9">
        <f ca="1">'1ERA SERVICIOS GENERALES'!F49</f>
        <v>0</v>
      </c>
      <c r="I282" s="9">
        <f ca="1">'1ERA SERVICIOS GENERALES'!G49</f>
        <v>0</v>
      </c>
      <c r="J282" s="9">
        <f ca="1">'1ERA SERVICIOS GENERALES'!H49</f>
        <v>0</v>
      </c>
      <c r="K282" s="9">
        <f ca="1">'1ERA SERVICIOS GENERALES'!I49</f>
        <v>0</v>
      </c>
      <c r="L282" s="9">
        <f ca="1">'1ERA SERVICIOS GENERALES'!J49</f>
        <v>0</v>
      </c>
      <c r="M282" s="9">
        <f ca="1">'1ERA SERVICIOS GENERALES'!K49</f>
        <v>15</v>
      </c>
      <c r="N282" s="9">
        <f ca="1">'1ERA SERVICIOS GENERALES'!L49</f>
        <v>7</v>
      </c>
      <c r="O282" s="9">
        <f ca="1">'1ERA SERVICIOS GENERALES'!M49</f>
        <v>0</v>
      </c>
      <c r="P282" s="9">
        <f ca="1">'1ERA SERVICIOS GENERALES'!N49</f>
        <v>0</v>
      </c>
      <c r="Q282" s="9">
        <f ca="1">'1ERA SERVICIOS GENERALES'!O49</f>
        <v>0</v>
      </c>
      <c r="R282" s="9">
        <f ca="1">'1ERA SERVICIOS GENERALES'!P49</f>
        <v>0</v>
      </c>
      <c r="S282" s="9">
        <f ca="1">'1ERA SERVICIOS GENERALES'!Q49</f>
        <v>0</v>
      </c>
      <c r="T282" s="9">
        <f ca="1">'1ERA SERVICIOS GENERALES'!R49</f>
        <v>0</v>
      </c>
      <c r="U282" s="9">
        <f ca="1">'1ERA SERVICIOS GENERALES'!S49</f>
        <v>22</v>
      </c>
    </row>
    <row r="283" spans="1:21" ht="39.75" customHeight="1">
      <c r="A283" s="30"/>
      <c r="B283" s="31"/>
      <c r="C283" s="5" t="s">
        <v>324</v>
      </c>
      <c r="D283" s="9">
        <f ca="1">'1ERA SERVICIOS GENERALES'!B50</f>
        <v>1</v>
      </c>
      <c r="E283" s="9">
        <f>'1ERA SERVICIOS GENERALES'!C50</f>
        <v>0</v>
      </c>
      <c r="F283" s="9" t="str">
        <f ca="1">'1ERA SERVICIOS GENERALES'!D50</f>
        <v>ASCENDENTE</v>
      </c>
      <c r="G283" s="9" t="str">
        <f ca="1">'1ERA SERVICIOS GENERALES'!E50</f>
        <v>BITACORA OPERATIVA</v>
      </c>
      <c r="H283" s="9">
        <f ca="1">'1ERA SERVICIOS GENERALES'!F50</f>
        <v>0</v>
      </c>
      <c r="I283" s="9">
        <f ca="1">'1ERA SERVICIOS GENERALES'!G50</f>
        <v>0</v>
      </c>
      <c r="J283" s="9">
        <f ca="1">'1ERA SERVICIOS GENERALES'!H50</f>
        <v>0</v>
      </c>
      <c r="K283" s="9">
        <f ca="1">'1ERA SERVICIOS GENERALES'!I50</f>
        <v>0</v>
      </c>
      <c r="L283" s="9">
        <f ca="1">'1ERA SERVICIOS GENERALES'!J50</f>
        <v>0</v>
      </c>
      <c r="M283" s="9">
        <f ca="1">'1ERA SERVICIOS GENERALES'!K50</f>
        <v>0</v>
      </c>
      <c r="N283" s="9">
        <f ca="1">'1ERA SERVICIOS GENERALES'!L50</f>
        <v>0</v>
      </c>
      <c r="O283" s="9">
        <f ca="1">'1ERA SERVICIOS GENERALES'!M50</f>
        <v>0</v>
      </c>
      <c r="P283" s="9">
        <f ca="1">'1ERA SERVICIOS GENERALES'!N50</f>
        <v>0</v>
      </c>
      <c r="Q283" s="9">
        <f ca="1">'1ERA SERVICIOS GENERALES'!O50</f>
        <v>0</v>
      </c>
      <c r="R283" s="9">
        <f ca="1">'1ERA SERVICIOS GENERALES'!P50</f>
        <v>0</v>
      </c>
      <c r="S283" s="9">
        <f ca="1">'1ERA SERVICIOS GENERALES'!Q50</f>
        <v>0</v>
      </c>
      <c r="T283" s="9">
        <f ca="1">'1ERA SERVICIOS GENERALES'!R50</f>
        <v>0</v>
      </c>
      <c r="U283" s="9">
        <f ca="1">'1ERA SERVICIOS GENERALES'!S50</f>
        <v>0</v>
      </c>
    </row>
    <row r="284" spans="1:21" ht="39.75" customHeight="1">
      <c r="A284" s="30"/>
      <c r="B284" s="32" t="s">
        <v>325</v>
      </c>
      <c r="C284" s="5" t="s">
        <v>326</v>
      </c>
      <c r="D284" s="9">
        <f ca="1">'1ERA SERVICIOS GENERALES'!B51</f>
        <v>1</v>
      </c>
      <c r="E284" s="9">
        <f>'1ERA SERVICIOS GENERALES'!C51</f>
        <v>0</v>
      </c>
      <c r="F284" s="9" t="str">
        <f ca="1">'1ERA SERVICIOS GENERALES'!D51</f>
        <v>ASCENDENTE</v>
      </c>
      <c r="G284" s="9" t="str">
        <f ca="1">'1ERA SERVICIOS GENERALES'!E51</f>
        <v>BITACORA OPERATIVA</v>
      </c>
      <c r="H284" s="9">
        <f ca="1">'1ERA SERVICIOS GENERALES'!F51</f>
        <v>0</v>
      </c>
      <c r="I284" s="9">
        <f ca="1">'1ERA SERVICIOS GENERALES'!G51</f>
        <v>0</v>
      </c>
      <c r="J284" s="9">
        <f ca="1">'1ERA SERVICIOS GENERALES'!H51</f>
        <v>0</v>
      </c>
      <c r="K284" s="9">
        <f ca="1">'1ERA SERVICIOS GENERALES'!I51</f>
        <v>0</v>
      </c>
      <c r="L284" s="9">
        <f ca="1">'1ERA SERVICIOS GENERALES'!J51</f>
        <v>0</v>
      </c>
      <c r="M284" s="9">
        <f ca="1">'1ERA SERVICIOS GENERALES'!K51</f>
        <v>0</v>
      </c>
      <c r="N284" s="9">
        <f ca="1">'1ERA SERVICIOS GENERALES'!L51</f>
        <v>0</v>
      </c>
      <c r="O284" s="9">
        <f ca="1">'1ERA SERVICIOS GENERALES'!M51</f>
        <v>0</v>
      </c>
      <c r="P284" s="9">
        <f ca="1">'1ERA SERVICIOS GENERALES'!N51</f>
        <v>0</v>
      </c>
      <c r="Q284" s="9">
        <f ca="1">'1ERA SERVICIOS GENERALES'!O51</f>
        <v>0</v>
      </c>
      <c r="R284" s="9">
        <f ca="1">'1ERA SERVICIOS GENERALES'!P51</f>
        <v>0</v>
      </c>
      <c r="S284" s="9">
        <f ca="1">'1ERA SERVICIOS GENERALES'!Q51</f>
        <v>0</v>
      </c>
      <c r="T284" s="9">
        <f ca="1">'1ERA SERVICIOS GENERALES'!R51</f>
        <v>0</v>
      </c>
      <c r="U284" s="9">
        <f ca="1">'1ERA SERVICIOS GENERALES'!S51</f>
        <v>0</v>
      </c>
    </row>
    <row r="285" spans="1:21" ht="39.75" customHeight="1">
      <c r="A285" s="30"/>
      <c r="B285" s="30"/>
      <c r="C285" s="5" t="s">
        <v>327</v>
      </c>
      <c r="D285" s="9">
        <f ca="1">'1ERA SERVICIOS GENERALES'!B52</f>
        <v>1</v>
      </c>
      <c r="E285" s="9">
        <f>'1ERA SERVICIOS GENERALES'!C52</f>
        <v>0</v>
      </c>
      <c r="F285" s="9" t="str">
        <f ca="1">'1ERA SERVICIOS GENERALES'!D52</f>
        <v>ASCENDENTE</v>
      </c>
      <c r="G285" s="9" t="str">
        <f ca="1">'1ERA SERVICIOS GENERALES'!E52</f>
        <v>BITACORA OPERATIVA</v>
      </c>
      <c r="H285" s="9">
        <f ca="1">'1ERA SERVICIOS GENERALES'!F52</f>
        <v>0</v>
      </c>
      <c r="I285" s="9">
        <f ca="1">'1ERA SERVICIOS GENERALES'!G52</f>
        <v>0</v>
      </c>
      <c r="J285" s="9">
        <f ca="1">'1ERA SERVICIOS GENERALES'!H52</f>
        <v>0</v>
      </c>
      <c r="K285" s="9">
        <f ca="1">'1ERA SERVICIOS GENERALES'!I52</f>
        <v>0</v>
      </c>
      <c r="L285" s="9">
        <f ca="1">'1ERA SERVICIOS GENERALES'!J52</f>
        <v>147284</v>
      </c>
      <c r="M285" s="9">
        <f ca="1">'1ERA SERVICIOS GENERALES'!K52</f>
        <v>146275</v>
      </c>
      <c r="N285" s="9">
        <f ca="1">'1ERA SERVICIOS GENERALES'!L52</f>
        <v>148206</v>
      </c>
      <c r="O285" s="9">
        <f ca="1">'1ERA SERVICIOS GENERALES'!M52</f>
        <v>0</v>
      </c>
      <c r="P285" s="9">
        <f ca="1">'1ERA SERVICIOS GENERALES'!N52</f>
        <v>0</v>
      </c>
      <c r="Q285" s="9">
        <f ca="1">'1ERA SERVICIOS GENERALES'!O52</f>
        <v>0</v>
      </c>
      <c r="R285" s="9">
        <f ca="1">'1ERA SERVICIOS GENERALES'!P52</f>
        <v>0</v>
      </c>
      <c r="S285" s="9">
        <f ca="1">'1ERA SERVICIOS GENERALES'!Q52</f>
        <v>0</v>
      </c>
      <c r="T285" s="9">
        <f ca="1">'1ERA SERVICIOS GENERALES'!R52</f>
        <v>0</v>
      </c>
      <c r="U285" s="9">
        <f ca="1">'1ERA SERVICIOS GENERALES'!S52</f>
        <v>441765</v>
      </c>
    </row>
    <row r="286" spans="1:21" ht="39.75" customHeight="1">
      <c r="A286" s="30"/>
      <c r="B286" s="31"/>
      <c r="C286" s="5" t="s">
        <v>328</v>
      </c>
      <c r="D286" s="9">
        <f ca="1">'1ERA SERVICIOS GENERALES'!B53</f>
        <v>1</v>
      </c>
      <c r="E286" s="9">
        <f>'1ERA SERVICIOS GENERALES'!C53</f>
        <v>0</v>
      </c>
      <c r="F286" s="9" t="str">
        <f ca="1">'1ERA SERVICIOS GENERALES'!D53</f>
        <v>ASCENDENTE</v>
      </c>
      <c r="G286" s="9" t="str">
        <f ca="1">'1ERA SERVICIOS GENERALES'!E53</f>
        <v>BITACORA OPERATIVA</v>
      </c>
      <c r="H286" s="9">
        <f ca="1">'1ERA SERVICIOS GENERALES'!F53</f>
        <v>0</v>
      </c>
      <c r="I286" s="9">
        <f ca="1">'1ERA SERVICIOS GENERALES'!G53</f>
        <v>0</v>
      </c>
      <c r="J286" s="9">
        <f ca="1">'1ERA SERVICIOS GENERALES'!H53</f>
        <v>0</v>
      </c>
      <c r="K286" s="9">
        <f ca="1">'1ERA SERVICIOS GENERALES'!I53</f>
        <v>0</v>
      </c>
      <c r="L286" s="9">
        <f ca="1">'1ERA SERVICIOS GENERALES'!J53</f>
        <v>21</v>
      </c>
      <c r="M286" s="9">
        <f ca="1">'1ERA SERVICIOS GENERALES'!K53</f>
        <v>21</v>
      </c>
      <c r="N286" s="9">
        <f ca="1">'1ERA SERVICIOS GENERALES'!L53</f>
        <v>21</v>
      </c>
      <c r="O286" s="9">
        <f ca="1">'1ERA SERVICIOS GENERALES'!M53</f>
        <v>0</v>
      </c>
      <c r="P286" s="9">
        <f ca="1">'1ERA SERVICIOS GENERALES'!N53</f>
        <v>0</v>
      </c>
      <c r="Q286" s="9">
        <f ca="1">'1ERA SERVICIOS GENERALES'!O53</f>
        <v>0</v>
      </c>
      <c r="R286" s="9">
        <f ca="1">'1ERA SERVICIOS GENERALES'!P53</f>
        <v>0</v>
      </c>
      <c r="S286" s="9">
        <f ca="1">'1ERA SERVICIOS GENERALES'!Q53</f>
        <v>0</v>
      </c>
      <c r="T286" s="9">
        <f ca="1">'1ERA SERVICIOS GENERALES'!R53</f>
        <v>0</v>
      </c>
      <c r="U286" s="9">
        <f ca="1">'1ERA SERVICIOS GENERALES'!S53</f>
        <v>63</v>
      </c>
    </row>
    <row r="287" spans="1:21" ht="39.75" customHeight="1">
      <c r="A287" s="30"/>
      <c r="B287" s="32" t="s">
        <v>329</v>
      </c>
      <c r="C287" s="14" t="s">
        <v>330</v>
      </c>
      <c r="D287" s="9">
        <f ca="1">'1ERA SERVICIOS GENERALES'!B54</f>
        <v>1</v>
      </c>
      <c r="E287" s="9">
        <f>'1ERA SERVICIOS GENERALES'!C54</f>
        <v>0</v>
      </c>
      <c r="F287" s="9" t="str">
        <f ca="1">'1ERA SERVICIOS GENERALES'!D54</f>
        <v>ASCENDENTE</v>
      </c>
      <c r="G287" s="9" t="str">
        <f ca="1">'1ERA SERVICIOS GENERALES'!E54</f>
        <v>BITACORA OPERATIVA</v>
      </c>
      <c r="H287" s="9">
        <f ca="1">'1ERA SERVICIOS GENERALES'!F54</f>
        <v>0</v>
      </c>
      <c r="I287" s="9">
        <f ca="1">'1ERA SERVICIOS GENERALES'!G54</f>
        <v>0</v>
      </c>
      <c r="J287" s="9">
        <f ca="1">'1ERA SERVICIOS GENERALES'!H54</f>
        <v>0</v>
      </c>
      <c r="K287" s="9">
        <f ca="1">'1ERA SERVICIOS GENERALES'!I54</f>
        <v>0</v>
      </c>
      <c r="L287" s="9">
        <f ca="1">'1ERA SERVICIOS GENERALES'!J54</f>
        <v>147284</v>
      </c>
      <c r="M287" s="9">
        <f ca="1">'1ERA SERVICIOS GENERALES'!K54</f>
        <v>146275</v>
      </c>
      <c r="N287" s="9">
        <f ca="1">'1ERA SERVICIOS GENERALES'!L54</f>
        <v>148206</v>
      </c>
      <c r="O287" s="9">
        <f ca="1">'1ERA SERVICIOS GENERALES'!M54</f>
        <v>0</v>
      </c>
      <c r="P287" s="9">
        <f ca="1">'1ERA SERVICIOS GENERALES'!N54</f>
        <v>0</v>
      </c>
      <c r="Q287" s="9">
        <f ca="1">'1ERA SERVICIOS GENERALES'!O54</f>
        <v>0</v>
      </c>
      <c r="R287" s="9">
        <f ca="1">'1ERA SERVICIOS GENERALES'!P54</f>
        <v>0</v>
      </c>
      <c r="S287" s="9">
        <f ca="1">'1ERA SERVICIOS GENERALES'!Q54</f>
        <v>0</v>
      </c>
      <c r="T287" s="9">
        <f ca="1">'1ERA SERVICIOS GENERALES'!R54</f>
        <v>0</v>
      </c>
      <c r="U287" s="9">
        <f ca="1">'1ERA SERVICIOS GENERALES'!S54</f>
        <v>441765</v>
      </c>
    </row>
    <row r="288" spans="1:21" ht="39.75" customHeight="1">
      <c r="A288" s="30"/>
      <c r="B288" s="30"/>
      <c r="C288" s="14" t="s">
        <v>331</v>
      </c>
      <c r="D288" s="9">
        <f ca="1">'1ERA SERVICIOS GENERALES'!B55</f>
        <v>1</v>
      </c>
      <c r="E288" s="9">
        <f>'1ERA SERVICIOS GENERALES'!C55</f>
        <v>0</v>
      </c>
      <c r="F288" s="9" t="str">
        <f ca="1">'1ERA SERVICIOS GENERALES'!D55</f>
        <v>ASCENDENTE</v>
      </c>
      <c r="G288" s="9" t="str">
        <f ca="1">'1ERA SERVICIOS GENERALES'!E55</f>
        <v>BITACORA OPERATIVA</v>
      </c>
      <c r="H288" s="9">
        <f ca="1">'1ERA SERVICIOS GENERALES'!F55</f>
        <v>0</v>
      </c>
      <c r="I288" s="9">
        <f ca="1">'1ERA SERVICIOS GENERALES'!G55</f>
        <v>0</v>
      </c>
      <c r="J288" s="9">
        <f ca="1">'1ERA SERVICIOS GENERALES'!H55</f>
        <v>0</v>
      </c>
      <c r="K288" s="9">
        <f ca="1">'1ERA SERVICIOS GENERALES'!I55</f>
        <v>0</v>
      </c>
      <c r="L288" s="9">
        <f ca="1">'1ERA SERVICIOS GENERALES'!J55</f>
        <v>8</v>
      </c>
      <c r="M288" s="9">
        <f ca="1">'1ERA SERVICIOS GENERALES'!K55</f>
        <v>6</v>
      </c>
      <c r="N288" s="9">
        <f ca="1">'1ERA SERVICIOS GENERALES'!L55</f>
        <v>8</v>
      </c>
      <c r="O288" s="9">
        <f ca="1">'1ERA SERVICIOS GENERALES'!M55</f>
        <v>0</v>
      </c>
      <c r="P288" s="9">
        <f ca="1">'1ERA SERVICIOS GENERALES'!N55</f>
        <v>0</v>
      </c>
      <c r="Q288" s="9">
        <f ca="1">'1ERA SERVICIOS GENERALES'!O55</f>
        <v>0</v>
      </c>
      <c r="R288" s="9">
        <f ca="1">'1ERA SERVICIOS GENERALES'!P55</f>
        <v>0</v>
      </c>
      <c r="S288" s="9">
        <f ca="1">'1ERA SERVICIOS GENERALES'!Q55</f>
        <v>0</v>
      </c>
      <c r="T288" s="9">
        <f ca="1">'1ERA SERVICIOS GENERALES'!R55</f>
        <v>0</v>
      </c>
      <c r="U288" s="9">
        <f ca="1">'1ERA SERVICIOS GENERALES'!S55</f>
        <v>22</v>
      </c>
    </row>
    <row r="289" spans="1:21" ht="39.75" customHeight="1">
      <c r="A289" s="30"/>
      <c r="B289" s="30"/>
      <c r="C289" s="14" t="s">
        <v>332</v>
      </c>
      <c r="D289" s="9">
        <f ca="1">'1ERA SERVICIOS GENERALES'!B56</f>
        <v>1</v>
      </c>
      <c r="E289" s="9">
        <f>'1ERA SERVICIOS GENERALES'!C56</f>
        <v>0</v>
      </c>
      <c r="F289" s="9" t="str">
        <f ca="1">'1ERA SERVICIOS GENERALES'!D56</f>
        <v>ASCENDENTE</v>
      </c>
      <c r="G289" s="9" t="str">
        <f ca="1">'1ERA SERVICIOS GENERALES'!E56</f>
        <v>BITACORA OPERATIVA</v>
      </c>
      <c r="H289" s="9">
        <f ca="1">'1ERA SERVICIOS GENERALES'!F56</f>
        <v>0</v>
      </c>
      <c r="I289" s="9">
        <f ca="1">'1ERA SERVICIOS GENERALES'!G56</f>
        <v>0</v>
      </c>
      <c r="J289" s="9">
        <f ca="1">'1ERA SERVICIOS GENERALES'!H56</f>
        <v>0</v>
      </c>
      <c r="K289" s="9">
        <f ca="1">'1ERA SERVICIOS GENERALES'!I56</f>
        <v>0</v>
      </c>
      <c r="L289" s="9">
        <f ca="1">'1ERA SERVICIOS GENERALES'!J56</f>
        <v>14</v>
      </c>
      <c r="M289" s="9">
        <f ca="1">'1ERA SERVICIOS GENERALES'!K56</f>
        <v>15</v>
      </c>
      <c r="N289" s="9">
        <f ca="1">'1ERA SERVICIOS GENERALES'!L56</f>
        <v>13</v>
      </c>
      <c r="O289" s="9">
        <f ca="1">'1ERA SERVICIOS GENERALES'!M56</f>
        <v>0</v>
      </c>
      <c r="P289" s="9">
        <f ca="1">'1ERA SERVICIOS GENERALES'!N56</f>
        <v>0</v>
      </c>
      <c r="Q289" s="9">
        <f ca="1">'1ERA SERVICIOS GENERALES'!O56</f>
        <v>0</v>
      </c>
      <c r="R289" s="9">
        <f ca="1">'1ERA SERVICIOS GENERALES'!P56</f>
        <v>0</v>
      </c>
      <c r="S289" s="9">
        <f ca="1">'1ERA SERVICIOS GENERALES'!Q56</f>
        <v>0</v>
      </c>
      <c r="T289" s="9">
        <f ca="1">'1ERA SERVICIOS GENERALES'!R56</f>
        <v>0</v>
      </c>
      <c r="U289" s="9">
        <f ca="1">'1ERA SERVICIOS GENERALES'!S56</f>
        <v>42</v>
      </c>
    </row>
    <row r="290" spans="1:21" ht="39.75" customHeight="1">
      <c r="A290" s="30"/>
      <c r="B290" s="30"/>
      <c r="C290" s="5" t="s">
        <v>333</v>
      </c>
      <c r="D290" s="9">
        <f ca="1">'1ERA SERVICIOS GENERALES'!B57</f>
        <v>1</v>
      </c>
      <c r="E290" s="9">
        <f>'1ERA SERVICIOS GENERALES'!C57</f>
        <v>0</v>
      </c>
      <c r="F290" s="9" t="str">
        <f ca="1">'1ERA SERVICIOS GENERALES'!D57</f>
        <v>ASCENDENTE</v>
      </c>
      <c r="G290" s="9" t="str">
        <f ca="1">'1ERA SERVICIOS GENERALES'!E57</f>
        <v>BITACORA OPERATIVA</v>
      </c>
      <c r="H290" s="9">
        <f ca="1">'1ERA SERVICIOS GENERALES'!F57</f>
        <v>0</v>
      </c>
      <c r="I290" s="9">
        <f ca="1">'1ERA SERVICIOS GENERALES'!G57</f>
        <v>0</v>
      </c>
      <c r="J290" s="9">
        <f ca="1">'1ERA SERVICIOS GENERALES'!H57</f>
        <v>0</v>
      </c>
      <c r="K290" s="9">
        <f ca="1">'1ERA SERVICIOS GENERALES'!I57</f>
        <v>0</v>
      </c>
      <c r="L290" s="9">
        <f ca="1">'1ERA SERVICIOS GENERALES'!J57</f>
        <v>20</v>
      </c>
      <c r="M290" s="9">
        <f ca="1">'1ERA SERVICIOS GENERALES'!K57</f>
        <v>18</v>
      </c>
      <c r="N290" s="9">
        <f ca="1">'1ERA SERVICIOS GENERALES'!L57</f>
        <v>25</v>
      </c>
      <c r="O290" s="9">
        <f ca="1">'1ERA SERVICIOS GENERALES'!M57</f>
        <v>0</v>
      </c>
      <c r="P290" s="9">
        <f ca="1">'1ERA SERVICIOS GENERALES'!N57</f>
        <v>0</v>
      </c>
      <c r="Q290" s="9">
        <f ca="1">'1ERA SERVICIOS GENERALES'!O57</f>
        <v>0</v>
      </c>
      <c r="R290" s="9">
        <f ca="1">'1ERA SERVICIOS GENERALES'!P57</f>
        <v>0</v>
      </c>
      <c r="S290" s="9">
        <f ca="1">'1ERA SERVICIOS GENERALES'!Q57</f>
        <v>0</v>
      </c>
      <c r="T290" s="9">
        <f ca="1">'1ERA SERVICIOS GENERALES'!R57</f>
        <v>0</v>
      </c>
      <c r="U290" s="9">
        <f ca="1">'1ERA SERVICIOS GENERALES'!S57</f>
        <v>63</v>
      </c>
    </row>
    <row r="291" spans="1:21" ht="39.75" customHeight="1">
      <c r="A291" s="30"/>
      <c r="B291" s="30"/>
      <c r="C291" s="5" t="s">
        <v>334</v>
      </c>
      <c r="D291" s="9">
        <f ca="1">'1ERA SERVICIOS GENERALES'!B58</f>
        <v>1</v>
      </c>
      <c r="E291" s="9">
        <f>'1ERA SERVICIOS GENERALES'!C58</f>
        <v>0</v>
      </c>
      <c r="F291" s="9" t="str">
        <f ca="1">'1ERA SERVICIOS GENERALES'!D58</f>
        <v>ASCENDENTE</v>
      </c>
      <c r="G291" s="9" t="str">
        <f ca="1">'1ERA SERVICIOS GENERALES'!E58</f>
        <v>BITACORA OPERATIVA</v>
      </c>
      <c r="H291" s="9">
        <f ca="1">'1ERA SERVICIOS GENERALES'!F58</f>
        <v>0</v>
      </c>
      <c r="I291" s="9">
        <f ca="1">'1ERA SERVICIOS GENERALES'!G58</f>
        <v>0</v>
      </c>
      <c r="J291" s="9">
        <f ca="1">'1ERA SERVICIOS GENERALES'!H58</f>
        <v>0</v>
      </c>
      <c r="K291" s="9">
        <f ca="1">'1ERA SERVICIOS GENERALES'!I58</f>
        <v>0</v>
      </c>
      <c r="L291" s="9">
        <f ca="1">'1ERA SERVICIOS GENERALES'!J58</f>
        <v>23</v>
      </c>
      <c r="M291" s="9">
        <f ca="1">'1ERA SERVICIOS GENERALES'!K58</f>
        <v>10</v>
      </c>
      <c r="N291" s="9">
        <f ca="1">'1ERA SERVICIOS GENERALES'!L58</f>
        <v>22</v>
      </c>
      <c r="O291" s="9">
        <f ca="1">'1ERA SERVICIOS GENERALES'!M58</f>
        <v>0</v>
      </c>
      <c r="P291" s="9">
        <f ca="1">'1ERA SERVICIOS GENERALES'!N58</f>
        <v>0</v>
      </c>
      <c r="Q291" s="9">
        <f ca="1">'1ERA SERVICIOS GENERALES'!O58</f>
        <v>0</v>
      </c>
      <c r="R291" s="9">
        <f ca="1">'1ERA SERVICIOS GENERALES'!P58</f>
        <v>0</v>
      </c>
      <c r="S291" s="9">
        <f ca="1">'1ERA SERVICIOS GENERALES'!Q58</f>
        <v>0</v>
      </c>
      <c r="T291" s="9">
        <f ca="1">'1ERA SERVICIOS GENERALES'!R58</f>
        <v>0</v>
      </c>
      <c r="U291" s="9">
        <f ca="1">'1ERA SERVICIOS GENERALES'!S58</f>
        <v>55</v>
      </c>
    </row>
    <row r="292" spans="1:21" ht="39.75" customHeight="1">
      <c r="A292" s="30"/>
      <c r="B292" s="30"/>
      <c r="C292" s="5" t="s">
        <v>335</v>
      </c>
      <c r="D292" s="9">
        <f ca="1">'1ERA SERVICIOS GENERALES'!B59</f>
        <v>1</v>
      </c>
      <c r="E292" s="9">
        <f>'1ERA SERVICIOS GENERALES'!C59</f>
        <v>0</v>
      </c>
      <c r="F292" s="9" t="str">
        <f ca="1">'1ERA SERVICIOS GENERALES'!D59</f>
        <v>ASCENDENTE</v>
      </c>
      <c r="G292" s="9" t="str">
        <f ca="1">'1ERA SERVICIOS GENERALES'!E59</f>
        <v>BITACORA OPERATIVA</v>
      </c>
      <c r="H292" s="9">
        <f ca="1">'1ERA SERVICIOS GENERALES'!F59</f>
        <v>0</v>
      </c>
      <c r="I292" s="9">
        <f ca="1">'1ERA SERVICIOS GENERALES'!G59</f>
        <v>0</v>
      </c>
      <c r="J292" s="9">
        <f ca="1">'1ERA SERVICIOS GENERALES'!H59</f>
        <v>0</v>
      </c>
      <c r="K292" s="9">
        <f ca="1">'1ERA SERVICIOS GENERALES'!I59</f>
        <v>0</v>
      </c>
      <c r="L292" s="9">
        <f ca="1">'1ERA SERVICIOS GENERALES'!J59</f>
        <v>91</v>
      </c>
      <c r="M292" s="9">
        <f ca="1">'1ERA SERVICIOS GENERALES'!K59</f>
        <v>73</v>
      </c>
      <c r="N292" s="9">
        <f ca="1">'1ERA SERVICIOS GENERALES'!L59</f>
        <v>85</v>
      </c>
      <c r="O292" s="9">
        <f ca="1">'1ERA SERVICIOS GENERALES'!M59</f>
        <v>0</v>
      </c>
      <c r="P292" s="9">
        <f ca="1">'1ERA SERVICIOS GENERALES'!N59</f>
        <v>0</v>
      </c>
      <c r="Q292" s="9">
        <f ca="1">'1ERA SERVICIOS GENERALES'!O59</f>
        <v>0</v>
      </c>
      <c r="R292" s="9">
        <f ca="1">'1ERA SERVICIOS GENERALES'!P59</f>
        <v>0</v>
      </c>
      <c r="S292" s="9">
        <f ca="1">'1ERA SERVICIOS GENERALES'!Q59</f>
        <v>0</v>
      </c>
      <c r="T292" s="9">
        <f ca="1">'1ERA SERVICIOS GENERALES'!R59</f>
        <v>0</v>
      </c>
      <c r="U292" s="9">
        <f ca="1">'1ERA SERVICIOS GENERALES'!S59</f>
        <v>249</v>
      </c>
    </row>
    <row r="293" spans="1:21" ht="39.75" customHeight="1">
      <c r="A293" s="30"/>
      <c r="B293" s="30"/>
      <c r="C293" s="5" t="s">
        <v>336</v>
      </c>
      <c r="D293" s="9">
        <f ca="1">'1ERA SERVICIOS GENERALES'!B60</f>
        <v>1</v>
      </c>
      <c r="E293" s="9">
        <f>'1ERA SERVICIOS GENERALES'!C60</f>
        <v>0</v>
      </c>
      <c r="F293" s="9" t="str">
        <f ca="1">'1ERA SERVICIOS GENERALES'!D60</f>
        <v>ASCENDENTE</v>
      </c>
      <c r="G293" s="9" t="str">
        <f ca="1">'1ERA SERVICIOS GENERALES'!E60</f>
        <v>BITACORA OPERATIVA</v>
      </c>
      <c r="H293" s="9">
        <f ca="1">'1ERA SERVICIOS GENERALES'!F60</f>
        <v>0</v>
      </c>
      <c r="I293" s="9">
        <f ca="1">'1ERA SERVICIOS GENERALES'!G60</f>
        <v>0</v>
      </c>
      <c r="J293" s="9">
        <f ca="1">'1ERA SERVICIOS GENERALES'!H60</f>
        <v>0</v>
      </c>
      <c r="K293" s="9">
        <f ca="1">'1ERA SERVICIOS GENERALES'!I60</f>
        <v>0</v>
      </c>
      <c r="L293" s="9">
        <f ca="1">'1ERA SERVICIOS GENERALES'!J60</f>
        <v>56</v>
      </c>
      <c r="M293" s="9">
        <f ca="1">'1ERA SERVICIOS GENERALES'!K60</f>
        <v>63</v>
      </c>
      <c r="N293" s="9">
        <f ca="1">'1ERA SERVICIOS GENERALES'!L60</f>
        <v>58</v>
      </c>
      <c r="O293" s="9">
        <f ca="1">'1ERA SERVICIOS GENERALES'!M60</f>
        <v>0</v>
      </c>
      <c r="P293" s="9">
        <f ca="1">'1ERA SERVICIOS GENERALES'!N60</f>
        <v>0</v>
      </c>
      <c r="Q293" s="9">
        <f ca="1">'1ERA SERVICIOS GENERALES'!O60</f>
        <v>0</v>
      </c>
      <c r="R293" s="9">
        <f ca="1">'1ERA SERVICIOS GENERALES'!P60</f>
        <v>0</v>
      </c>
      <c r="S293" s="9">
        <f ca="1">'1ERA SERVICIOS GENERALES'!Q60</f>
        <v>0</v>
      </c>
      <c r="T293" s="9">
        <f ca="1">'1ERA SERVICIOS GENERALES'!R60</f>
        <v>0</v>
      </c>
      <c r="U293" s="9">
        <f ca="1">'1ERA SERVICIOS GENERALES'!S60</f>
        <v>177</v>
      </c>
    </row>
    <row r="294" spans="1:21" ht="39.75" customHeight="1">
      <c r="A294" s="30"/>
      <c r="B294" s="30"/>
      <c r="C294" s="5" t="s">
        <v>337</v>
      </c>
      <c r="D294" s="9">
        <f ca="1">'1ERA SERVICIOS GENERALES'!B61</f>
        <v>1</v>
      </c>
      <c r="E294" s="9">
        <f>'1ERA SERVICIOS GENERALES'!C61</f>
        <v>0</v>
      </c>
      <c r="F294" s="9" t="str">
        <f ca="1">'1ERA SERVICIOS GENERALES'!D61</f>
        <v>ASCENDENTE</v>
      </c>
      <c r="G294" s="9" t="str">
        <f ca="1">'1ERA SERVICIOS GENERALES'!E61</f>
        <v>BITACORA OPERATIVA</v>
      </c>
      <c r="H294" s="9">
        <f ca="1">'1ERA SERVICIOS GENERALES'!F61</f>
        <v>0</v>
      </c>
      <c r="I294" s="9">
        <f ca="1">'1ERA SERVICIOS GENERALES'!G61</f>
        <v>0</v>
      </c>
      <c r="J294" s="9">
        <f ca="1">'1ERA SERVICIOS GENERALES'!H61</f>
        <v>0</v>
      </c>
      <c r="K294" s="9">
        <f ca="1">'1ERA SERVICIOS GENERALES'!I61</f>
        <v>0</v>
      </c>
      <c r="L294" s="9">
        <f ca="1">'1ERA SERVICIOS GENERALES'!J61</f>
        <v>22</v>
      </c>
      <c r="M294" s="9">
        <f ca="1">'1ERA SERVICIOS GENERALES'!K61</f>
        <v>10</v>
      </c>
      <c r="N294" s="9">
        <f ca="1">'1ERA SERVICIOS GENERALES'!L61</f>
        <v>10</v>
      </c>
      <c r="O294" s="9">
        <f ca="1">'1ERA SERVICIOS GENERALES'!M61</f>
        <v>0</v>
      </c>
      <c r="P294" s="9">
        <f ca="1">'1ERA SERVICIOS GENERALES'!N61</f>
        <v>0</v>
      </c>
      <c r="Q294" s="9">
        <f ca="1">'1ERA SERVICIOS GENERALES'!O61</f>
        <v>0</v>
      </c>
      <c r="R294" s="9">
        <f ca="1">'1ERA SERVICIOS GENERALES'!P61</f>
        <v>0</v>
      </c>
      <c r="S294" s="9">
        <f ca="1">'1ERA SERVICIOS GENERALES'!Q61</f>
        <v>0</v>
      </c>
      <c r="T294" s="9">
        <f ca="1">'1ERA SERVICIOS GENERALES'!R61</f>
        <v>0</v>
      </c>
      <c r="U294" s="9">
        <f ca="1">'1ERA SERVICIOS GENERALES'!S61</f>
        <v>42</v>
      </c>
    </row>
    <row r="295" spans="1:21" ht="39.75" customHeight="1">
      <c r="A295" s="30"/>
      <c r="B295" s="30"/>
      <c r="C295" s="5" t="s">
        <v>338</v>
      </c>
      <c r="D295" s="9">
        <f ca="1">'1ERA SERVICIOS GENERALES'!B62</f>
        <v>1</v>
      </c>
      <c r="E295" s="9">
        <f>'1ERA SERVICIOS GENERALES'!C62</f>
        <v>0</v>
      </c>
      <c r="F295" s="9" t="str">
        <f ca="1">'1ERA SERVICIOS GENERALES'!D62</f>
        <v>ASCENDENTE</v>
      </c>
      <c r="G295" s="9" t="str">
        <f ca="1">'1ERA SERVICIOS GENERALES'!E62</f>
        <v>BITACORA OPERATIVA</v>
      </c>
      <c r="H295" s="9">
        <f ca="1">'1ERA SERVICIOS GENERALES'!F62</f>
        <v>0</v>
      </c>
      <c r="I295" s="9">
        <f ca="1">'1ERA SERVICIOS GENERALES'!G62</f>
        <v>0</v>
      </c>
      <c r="J295" s="9">
        <f ca="1">'1ERA SERVICIOS GENERALES'!H62</f>
        <v>0</v>
      </c>
      <c r="K295" s="9">
        <f ca="1">'1ERA SERVICIOS GENERALES'!I62</f>
        <v>0</v>
      </c>
      <c r="L295" s="9">
        <f ca="1">'1ERA SERVICIOS GENERALES'!J62</f>
        <v>0</v>
      </c>
      <c r="M295" s="9">
        <f ca="1">'1ERA SERVICIOS GENERALES'!K62</f>
        <v>0</v>
      </c>
      <c r="N295" s="9">
        <f ca="1">'1ERA SERVICIOS GENERALES'!L62</f>
        <v>1</v>
      </c>
      <c r="O295" s="9">
        <f ca="1">'1ERA SERVICIOS GENERALES'!M62</f>
        <v>0</v>
      </c>
      <c r="P295" s="9">
        <f ca="1">'1ERA SERVICIOS GENERALES'!N62</f>
        <v>0</v>
      </c>
      <c r="Q295" s="9">
        <f ca="1">'1ERA SERVICIOS GENERALES'!O62</f>
        <v>0</v>
      </c>
      <c r="R295" s="9">
        <f ca="1">'1ERA SERVICIOS GENERALES'!P62</f>
        <v>0</v>
      </c>
      <c r="S295" s="9">
        <f ca="1">'1ERA SERVICIOS GENERALES'!Q62</f>
        <v>0</v>
      </c>
      <c r="T295" s="9">
        <f ca="1">'1ERA SERVICIOS GENERALES'!R62</f>
        <v>0</v>
      </c>
      <c r="U295" s="9">
        <f ca="1">'1ERA SERVICIOS GENERALES'!S62</f>
        <v>1</v>
      </c>
    </row>
    <row r="296" spans="1:21" ht="39.75" customHeight="1">
      <c r="A296" s="30"/>
      <c r="B296" s="30"/>
      <c r="C296" s="5" t="s">
        <v>339</v>
      </c>
      <c r="D296" s="9">
        <f ca="1">'1ERA SERVICIOS GENERALES'!B63</f>
        <v>1</v>
      </c>
      <c r="E296" s="9">
        <f>'1ERA SERVICIOS GENERALES'!C63</f>
        <v>0</v>
      </c>
      <c r="F296" s="9" t="str">
        <f ca="1">'1ERA SERVICIOS GENERALES'!D63</f>
        <v>ASCENDENTE</v>
      </c>
      <c r="G296" s="9" t="str">
        <f ca="1">'1ERA SERVICIOS GENERALES'!E63</f>
        <v>BITACORA OPERATIVA</v>
      </c>
      <c r="H296" s="9">
        <f ca="1">'1ERA SERVICIOS GENERALES'!F63</f>
        <v>0</v>
      </c>
      <c r="I296" s="9">
        <f ca="1">'1ERA SERVICIOS GENERALES'!G63</f>
        <v>0</v>
      </c>
      <c r="J296" s="9">
        <f ca="1">'1ERA SERVICIOS GENERALES'!H63</f>
        <v>0</v>
      </c>
      <c r="K296" s="9">
        <f ca="1">'1ERA SERVICIOS GENERALES'!I63</f>
        <v>0</v>
      </c>
      <c r="L296" s="9">
        <f ca="1">'1ERA SERVICIOS GENERALES'!J63</f>
        <v>4</v>
      </c>
      <c r="M296" s="9">
        <f ca="1">'1ERA SERVICIOS GENERALES'!K63</f>
        <v>7</v>
      </c>
      <c r="N296" s="9">
        <f ca="1">'1ERA SERVICIOS GENERALES'!L63</f>
        <v>6</v>
      </c>
      <c r="O296" s="9">
        <f ca="1">'1ERA SERVICIOS GENERALES'!M63</f>
        <v>0</v>
      </c>
      <c r="P296" s="9">
        <f ca="1">'1ERA SERVICIOS GENERALES'!N63</f>
        <v>0</v>
      </c>
      <c r="Q296" s="9">
        <f ca="1">'1ERA SERVICIOS GENERALES'!O63</f>
        <v>0</v>
      </c>
      <c r="R296" s="9">
        <f ca="1">'1ERA SERVICIOS GENERALES'!P63</f>
        <v>0</v>
      </c>
      <c r="S296" s="9">
        <f ca="1">'1ERA SERVICIOS GENERALES'!Q63</f>
        <v>0</v>
      </c>
      <c r="T296" s="9">
        <f ca="1">'1ERA SERVICIOS GENERALES'!R63</f>
        <v>0</v>
      </c>
      <c r="U296" s="9">
        <f ca="1">'1ERA SERVICIOS GENERALES'!S63</f>
        <v>17</v>
      </c>
    </row>
    <row r="297" spans="1:21" ht="39.75" customHeight="1">
      <c r="A297" s="30"/>
      <c r="B297" s="31"/>
      <c r="C297" s="5" t="s">
        <v>340</v>
      </c>
      <c r="D297" s="9">
        <f ca="1">'1ERA SERVICIOS GENERALES'!B64</f>
        <v>1</v>
      </c>
      <c r="E297" s="9">
        <f>'1ERA SERVICIOS GENERALES'!C64</f>
        <v>0</v>
      </c>
      <c r="F297" s="9" t="str">
        <f ca="1">'1ERA SERVICIOS GENERALES'!D64</f>
        <v>ASCENDENTE</v>
      </c>
      <c r="G297" s="9" t="str">
        <f ca="1">'1ERA SERVICIOS GENERALES'!E64</f>
        <v>BITACORA OPERATIVA</v>
      </c>
      <c r="H297" s="9">
        <f ca="1">'1ERA SERVICIOS GENERALES'!F64</f>
        <v>0</v>
      </c>
      <c r="I297" s="9">
        <f ca="1">'1ERA SERVICIOS GENERALES'!G64</f>
        <v>0</v>
      </c>
      <c r="J297" s="9">
        <f ca="1">'1ERA SERVICIOS GENERALES'!H64</f>
        <v>0</v>
      </c>
      <c r="K297" s="9">
        <f ca="1">'1ERA SERVICIOS GENERALES'!I64</f>
        <v>0</v>
      </c>
      <c r="L297" s="9">
        <f ca="1">'1ERA SERVICIOS GENERALES'!J64</f>
        <v>58</v>
      </c>
      <c r="M297" s="9">
        <f ca="1">'1ERA SERVICIOS GENERALES'!K64</f>
        <v>65</v>
      </c>
      <c r="N297" s="9">
        <f ca="1">'1ERA SERVICIOS GENERALES'!L64</f>
        <v>48</v>
      </c>
      <c r="O297" s="9">
        <f ca="1">'1ERA SERVICIOS GENERALES'!M64</f>
        <v>0</v>
      </c>
      <c r="P297" s="9">
        <f ca="1">'1ERA SERVICIOS GENERALES'!N64</f>
        <v>0</v>
      </c>
      <c r="Q297" s="9">
        <f ca="1">'1ERA SERVICIOS GENERALES'!O64</f>
        <v>0</v>
      </c>
      <c r="R297" s="9">
        <f ca="1">'1ERA SERVICIOS GENERALES'!P64</f>
        <v>0</v>
      </c>
      <c r="S297" s="9">
        <f ca="1">'1ERA SERVICIOS GENERALES'!Q64</f>
        <v>0</v>
      </c>
      <c r="T297" s="9">
        <f ca="1">'1ERA SERVICIOS GENERALES'!R64</f>
        <v>0</v>
      </c>
      <c r="U297" s="9">
        <f ca="1">'1ERA SERVICIOS GENERALES'!S64</f>
        <v>171</v>
      </c>
    </row>
    <row r="298" spans="1:21" ht="39.75" customHeight="1">
      <c r="A298" s="30"/>
      <c r="B298" s="32" t="s">
        <v>341</v>
      </c>
      <c r="C298" s="5" t="s">
        <v>342</v>
      </c>
      <c r="D298" s="9">
        <f ca="1">'1ERA SERVICIOS GENERALES'!B65</f>
        <v>1</v>
      </c>
      <c r="E298" s="9">
        <f>'1ERA SERVICIOS GENERALES'!C65</f>
        <v>0</v>
      </c>
      <c r="F298" s="9" t="str">
        <f ca="1">'1ERA SERVICIOS GENERALES'!D65</f>
        <v>ASCENDENTE</v>
      </c>
      <c r="G298" s="9" t="str">
        <f ca="1">'1ERA SERVICIOS GENERALES'!E65</f>
        <v>BITACORA OPERATIVA</v>
      </c>
      <c r="H298" s="9">
        <f ca="1">'1ERA SERVICIOS GENERALES'!F65</f>
        <v>0</v>
      </c>
      <c r="I298" s="9">
        <f ca="1">'1ERA SERVICIOS GENERALES'!G65</f>
        <v>0</v>
      </c>
      <c r="J298" s="9">
        <f ca="1">'1ERA SERVICIOS GENERALES'!H65</f>
        <v>0</v>
      </c>
      <c r="K298" s="9">
        <f ca="1">'1ERA SERVICIOS GENERALES'!I65</f>
        <v>0</v>
      </c>
      <c r="L298" s="9">
        <f ca="1">'1ERA SERVICIOS GENERALES'!J65</f>
        <v>9</v>
      </c>
      <c r="M298" s="9">
        <f ca="1">'1ERA SERVICIOS GENERALES'!K65</f>
        <v>4</v>
      </c>
      <c r="N298" s="9">
        <f ca="1">'1ERA SERVICIOS GENERALES'!L65</f>
        <v>7</v>
      </c>
      <c r="O298" s="9">
        <f ca="1">'1ERA SERVICIOS GENERALES'!M65</f>
        <v>0</v>
      </c>
      <c r="P298" s="9">
        <f ca="1">'1ERA SERVICIOS GENERALES'!N65</f>
        <v>0</v>
      </c>
      <c r="Q298" s="9">
        <f ca="1">'1ERA SERVICIOS GENERALES'!O65</f>
        <v>0</v>
      </c>
      <c r="R298" s="9">
        <f ca="1">'1ERA SERVICIOS GENERALES'!P65</f>
        <v>0</v>
      </c>
      <c r="S298" s="9">
        <f ca="1">'1ERA SERVICIOS GENERALES'!Q65</f>
        <v>0</v>
      </c>
      <c r="T298" s="9">
        <f ca="1">'1ERA SERVICIOS GENERALES'!R65</f>
        <v>0</v>
      </c>
      <c r="U298" s="9">
        <f ca="1">'1ERA SERVICIOS GENERALES'!S65</f>
        <v>20</v>
      </c>
    </row>
    <row r="299" spans="1:21" ht="39.75" customHeight="1">
      <c r="A299" s="30"/>
      <c r="B299" s="30"/>
      <c r="C299" s="5" t="s">
        <v>343</v>
      </c>
      <c r="D299" s="9">
        <f ca="1">'1ERA SERVICIOS GENERALES'!B66</f>
        <v>1</v>
      </c>
      <c r="E299" s="9">
        <f>'1ERA SERVICIOS GENERALES'!C66</f>
        <v>0</v>
      </c>
      <c r="F299" s="9" t="str">
        <f ca="1">'1ERA SERVICIOS GENERALES'!D66</f>
        <v>ASCENDENTE</v>
      </c>
      <c r="G299" s="9" t="str">
        <f ca="1">'1ERA SERVICIOS GENERALES'!E66</f>
        <v>BITACORA OPERATIVA</v>
      </c>
      <c r="H299" s="9">
        <f ca="1">'1ERA SERVICIOS GENERALES'!F66</f>
        <v>0</v>
      </c>
      <c r="I299" s="9">
        <f ca="1">'1ERA SERVICIOS GENERALES'!G66</f>
        <v>0</v>
      </c>
      <c r="J299" s="9">
        <f ca="1">'1ERA SERVICIOS GENERALES'!H66</f>
        <v>0</v>
      </c>
      <c r="K299" s="9">
        <f ca="1">'1ERA SERVICIOS GENERALES'!I66</f>
        <v>0</v>
      </c>
      <c r="L299" s="9">
        <f ca="1">'1ERA SERVICIOS GENERALES'!J66</f>
        <v>0</v>
      </c>
      <c r="M299" s="9">
        <f ca="1">'1ERA SERVICIOS GENERALES'!K66</f>
        <v>0</v>
      </c>
      <c r="N299" s="9">
        <f ca="1">'1ERA SERVICIOS GENERALES'!L66</f>
        <v>0</v>
      </c>
      <c r="O299" s="9">
        <f ca="1">'1ERA SERVICIOS GENERALES'!M66</f>
        <v>0</v>
      </c>
      <c r="P299" s="9">
        <f ca="1">'1ERA SERVICIOS GENERALES'!N66</f>
        <v>0</v>
      </c>
      <c r="Q299" s="9">
        <f ca="1">'1ERA SERVICIOS GENERALES'!O66</f>
        <v>0</v>
      </c>
      <c r="R299" s="9">
        <f ca="1">'1ERA SERVICIOS GENERALES'!P66</f>
        <v>0</v>
      </c>
      <c r="S299" s="9">
        <f ca="1">'1ERA SERVICIOS GENERALES'!Q66</f>
        <v>0</v>
      </c>
      <c r="T299" s="9">
        <f ca="1">'1ERA SERVICIOS GENERALES'!R66</f>
        <v>0</v>
      </c>
      <c r="U299" s="9">
        <f ca="1">'1ERA SERVICIOS GENERALES'!S66</f>
        <v>0</v>
      </c>
    </row>
    <row r="300" spans="1:21" ht="39.75" customHeight="1">
      <c r="A300" s="30"/>
      <c r="B300" s="30"/>
      <c r="C300" s="5" t="s">
        <v>344</v>
      </c>
      <c r="D300" s="9">
        <f ca="1">'1ERA SERVICIOS GENERALES'!B67</f>
        <v>1</v>
      </c>
      <c r="E300" s="9">
        <f>'1ERA SERVICIOS GENERALES'!C67</f>
        <v>0</v>
      </c>
      <c r="F300" s="9" t="str">
        <f ca="1">'1ERA SERVICIOS GENERALES'!D67</f>
        <v>ASCENDENTE</v>
      </c>
      <c r="G300" s="9" t="str">
        <f ca="1">'1ERA SERVICIOS GENERALES'!E67</f>
        <v>BITACORA OPERATIVA</v>
      </c>
      <c r="H300" s="9">
        <f ca="1">'1ERA SERVICIOS GENERALES'!F67</f>
        <v>0</v>
      </c>
      <c r="I300" s="9">
        <f ca="1">'1ERA SERVICIOS GENERALES'!G67</f>
        <v>0</v>
      </c>
      <c r="J300" s="9">
        <f ca="1">'1ERA SERVICIOS GENERALES'!H67</f>
        <v>0</v>
      </c>
      <c r="K300" s="9">
        <f ca="1">'1ERA SERVICIOS GENERALES'!I67</f>
        <v>0</v>
      </c>
      <c r="L300" s="9">
        <f ca="1">'1ERA SERVICIOS GENERALES'!J67</f>
        <v>803</v>
      </c>
      <c r="M300" s="9">
        <f ca="1">'1ERA SERVICIOS GENERALES'!K67</f>
        <v>960</v>
      </c>
      <c r="N300" s="9">
        <f ca="1">'1ERA SERVICIOS GENERALES'!L67</f>
        <v>619</v>
      </c>
      <c r="O300" s="9">
        <f ca="1">'1ERA SERVICIOS GENERALES'!M67</f>
        <v>0</v>
      </c>
      <c r="P300" s="9">
        <f ca="1">'1ERA SERVICIOS GENERALES'!N67</f>
        <v>0</v>
      </c>
      <c r="Q300" s="9">
        <f ca="1">'1ERA SERVICIOS GENERALES'!O67</f>
        <v>0</v>
      </c>
      <c r="R300" s="9">
        <f ca="1">'1ERA SERVICIOS GENERALES'!P67</f>
        <v>0</v>
      </c>
      <c r="S300" s="9">
        <f ca="1">'1ERA SERVICIOS GENERALES'!Q67</f>
        <v>0</v>
      </c>
      <c r="T300" s="9">
        <f ca="1">'1ERA SERVICIOS GENERALES'!R67</f>
        <v>0</v>
      </c>
      <c r="U300" s="9">
        <f ca="1">'1ERA SERVICIOS GENERALES'!S67</f>
        <v>2382</v>
      </c>
    </row>
    <row r="301" spans="1:21" ht="39.75" customHeight="1">
      <c r="A301" s="30"/>
      <c r="B301" s="30"/>
      <c r="C301" s="5" t="s">
        <v>345</v>
      </c>
      <c r="D301" s="9">
        <f ca="1">'1ERA SERVICIOS GENERALES'!B68</f>
        <v>1</v>
      </c>
      <c r="E301" s="9">
        <f>'1ERA SERVICIOS GENERALES'!C68</f>
        <v>0</v>
      </c>
      <c r="F301" s="9" t="str">
        <f ca="1">'1ERA SERVICIOS GENERALES'!D68</f>
        <v>ASCENDENTE</v>
      </c>
      <c r="G301" s="9" t="str">
        <f ca="1">'1ERA SERVICIOS GENERALES'!E68</f>
        <v>BITACORA OPERATIVA</v>
      </c>
      <c r="H301" s="9">
        <f ca="1">'1ERA SERVICIOS GENERALES'!F68</f>
        <v>0</v>
      </c>
      <c r="I301" s="9">
        <f ca="1">'1ERA SERVICIOS GENERALES'!G68</f>
        <v>0</v>
      </c>
      <c r="J301" s="9">
        <f ca="1">'1ERA SERVICIOS GENERALES'!H68</f>
        <v>0</v>
      </c>
      <c r="K301" s="9">
        <f ca="1">'1ERA SERVICIOS GENERALES'!I68</f>
        <v>0</v>
      </c>
      <c r="L301" s="9">
        <f ca="1">'1ERA SERVICIOS GENERALES'!J68</f>
        <v>709</v>
      </c>
      <c r="M301" s="9">
        <f ca="1">'1ERA SERVICIOS GENERALES'!K68</f>
        <v>1050</v>
      </c>
      <c r="N301" s="9">
        <f ca="1">'1ERA SERVICIOS GENERALES'!L68</f>
        <v>897</v>
      </c>
      <c r="O301" s="9">
        <f ca="1">'1ERA SERVICIOS GENERALES'!M68</f>
        <v>0</v>
      </c>
      <c r="P301" s="9">
        <f ca="1">'1ERA SERVICIOS GENERALES'!N68</f>
        <v>0</v>
      </c>
      <c r="Q301" s="9">
        <f ca="1">'1ERA SERVICIOS GENERALES'!O68</f>
        <v>0</v>
      </c>
      <c r="R301" s="9">
        <f ca="1">'1ERA SERVICIOS GENERALES'!P68</f>
        <v>0</v>
      </c>
      <c r="S301" s="9">
        <f ca="1">'1ERA SERVICIOS GENERALES'!Q68</f>
        <v>0</v>
      </c>
      <c r="T301" s="9">
        <f ca="1">'1ERA SERVICIOS GENERALES'!R68</f>
        <v>0</v>
      </c>
      <c r="U301" s="9">
        <f ca="1">'1ERA SERVICIOS GENERALES'!S68</f>
        <v>2656</v>
      </c>
    </row>
    <row r="302" spans="1:21" ht="39.75" customHeight="1">
      <c r="A302" s="30"/>
      <c r="B302" s="30"/>
      <c r="C302" s="5" t="s">
        <v>346</v>
      </c>
      <c r="D302" s="9">
        <f ca="1">'1ERA SERVICIOS GENERALES'!B69</f>
        <v>1</v>
      </c>
      <c r="E302" s="9">
        <f>'1ERA SERVICIOS GENERALES'!C69</f>
        <v>0</v>
      </c>
      <c r="F302" s="9" t="str">
        <f ca="1">'1ERA SERVICIOS GENERALES'!D69</f>
        <v>ASCENDENTE</v>
      </c>
      <c r="G302" s="9" t="str">
        <f ca="1">'1ERA SERVICIOS GENERALES'!E69</f>
        <v>BITACORA OPERATIVA</v>
      </c>
      <c r="H302" s="9">
        <f ca="1">'1ERA SERVICIOS GENERALES'!F69</f>
        <v>0</v>
      </c>
      <c r="I302" s="9">
        <f ca="1">'1ERA SERVICIOS GENERALES'!G69</f>
        <v>0</v>
      </c>
      <c r="J302" s="9">
        <f ca="1">'1ERA SERVICIOS GENERALES'!H69</f>
        <v>0</v>
      </c>
      <c r="K302" s="9">
        <f ca="1">'1ERA SERVICIOS GENERALES'!I69</f>
        <v>0</v>
      </c>
      <c r="L302" s="9">
        <f ca="1">'1ERA SERVICIOS GENERALES'!J69</f>
        <v>185</v>
      </c>
      <c r="M302" s="9">
        <f ca="1">'1ERA SERVICIOS GENERALES'!K69</f>
        <v>198</v>
      </c>
      <c r="N302" s="9">
        <f ca="1">'1ERA SERVICIOS GENERALES'!L69</f>
        <v>178</v>
      </c>
      <c r="O302" s="9">
        <f ca="1">'1ERA SERVICIOS GENERALES'!M69</f>
        <v>0</v>
      </c>
      <c r="P302" s="9">
        <f ca="1">'1ERA SERVICIOS GENERALES'!N69</f>
        <v>0</v>
      </c>
      <c r="Q302" s="9">
        <f ca="1">'1ERA SERVICIOS GENERALES'!O69</f>
        <v>0</v>
      </c>
      <c r="R302" s="9">
        <f ca="1">'1ERA SERVICIOS GENERALES'!P69</f>
        <v>0</v>
      </c>
      <c r="S302" s="9">
        <f ca="1">'1ERA SERVICIOS GENERALES'!Q69</f>
        <v>0</v>
      </c>
      <c r="T302" s="9">
        <f ca="1">'1ERA SERVICIOS GENERALES'!R69</f>
        <v>0</v>
      </c>
      <c r="U302" s="9">
        <f ca="1">'1ERA SERVICIOS GENERALES'!S69</f>
        <v>561</v>
      </c>
    </row>
    <row r="303" spans="1:21" ht="39.75" customHeight="1">
      <c r="A303" s="30"/>
      <c r="B303" s="30"/>
      <c r="C303" s="5" t="s">
        <v>347</v>
      </c>
      <c r="D303" s="9">
        <f ca="1">'1ERA SERVICIOS GENERALES'!B70</f>
        <v>1</v>
      </c>
      <c r="E303" s="9">
        <f>'1ERA SERVICIOS GENERALES'!C70</f>
        <v>0</v>
      </c>
      <c r="F303" s="9" t="str">
        <f ca="1">'1ERA SERVICIOS GENERALES'!D70</f>
        <v>ASCENDENTE</v>
      </c>
      <c r="G303" s="9" t="str">
        <f ca="1">'1ERA SERVICIOS GENERALES'!E70</f>
        <v>BITACORA OPERATIVA</v>
      </c>
      <c r="H303" s="9">
        <f ca="1">'1ERA SERVICIOS GENERALES'!F70</f>
        <v>0</v>
      </c>
      <c r="I303" s="9">
        <f ca="1">'1ERA SERVICIOS GENERALES'!G70</f>
        <v>0</v>
      </c>
      <c r="J303" s="9">
        <f ca="1">'1ERA SERVICIOS GENERALES'!H70</f>
        <v>0</v>
      </c>
      <c r="K303" s="9">
        <f ca="1">'1ERA SERVICIOS GENERALES'!I70</f>
        <v>0</v>
      </c>
      <c r="L303" s="9">
        <f ca="1">'1ERA SERVICIOS GENERALES'!J70</f>
        <v>0</v>
      </c>
      <c r="M303" s="9">
        <f ca="1">'1ERA SERVICIOS GENERALES'!K70</f>
        <v>0</v>
      </c>
      <c r="N303" s="9">
        <f ca="1">'1ERA SERVICIOS GENERALES'!L70</f>
        <v>0</v>
      </c>
      <c r="O303" s="9">
        <f ca="1">'1ERA SERVICIOS GENERALES'!M70</f>
        <v>0</v>
      </c>
      <c r="P303" s="9">
        <f ca="1">'1ERA SERVICIOS GENERALES'!N70</f>
        <v>0</v>
      </c>
      <c r="Q303" s="9">
        <f ca="1">'1ERA SERVICIOS GENERALES'!O70</f>
        <v>0</v>
      </c>
      <c r="R303" s="9">
        <f ca="1">'1ERA SERVICIOS GENERALES'!P70</f>
        <v>0</v>
      </c>
      <c r="S303" s="9">
        <f ca="1">'1ERA SERVICIOS GENERALES'!Q70</f>
        <v>0</v>
      </c>
      <c r="T303" s="9">
        <f ca="1">'1ERA SERVICIOS GENERALES'!R70</f>
        <v>0</v>
      </c>
      <c r="U303" s="9">
        <f ca="1">'1ERA SERVICIOS GENERALES'!S70</f>
        <v>0</v>
      </c>
    </row>
    <row r="304" spans="1:21" ht="39.75" customHeight="1">
      <c r="A304" s="30"/>
      <c r="B304" s="30"/>
      <c r="C304" s="5" t="s">
        <v>348</v>
      </c>
      <c r="D304" s="9">
        <f ca="1">'1ERA SERVICIOS GENERALES'!B71</f>
        <v>1</v>
      </c>
      <c r="E304" s="9">
        <f>'1ERA SERVICIOS GENERALES'!C71</f>
        <v>0</v>
      </c>
      <c r="F304" s="9" t="str">
        <f ca="1">'1ERA SERVICIOS GENERALES'!D71</f>
        <v>ASCENDENTE</v>
      </c>
      <c r="G304" s="9" t="str">
        <f ca="1">'1ERA SERVICIOS GENERALES'!E71</f>
        <v>BITACORA OPERATIVA</v>
      </c>
      <c r="H304" s="9">
        <f ca="1">'1ERA SERVICIOS GENERALES'!F71</f>
        <v>0</v>
      </c>
      <c r="I304" s="9">
        <f ca="1">'1ERA SERVICIOS GENERALES'!G71</f>
        <v>0</v>
      </c>
      <c r="J304" s="9">
        <f ca="1">'1ERA SERVICIOS GENERALES'!H71</f>
        <v>0</v>
      </c>
      <c r="K304" s="9">
        <f ca="1">'1ERA SERVICIOS GENERALES'!I71</f>
        <v>0</v>
      </c>
      <c r="L304" s="9">
        <f ca="1">'1ERA SERVICIOS GENERALES'!J71</f>
        <v>0</v>
      </c>
      <c r="M304" s="9">
        <f ca="1">'1ERA SERVICIOS GENERALES'!K71</f>
        <v>0</v>
      </c>
      <c r="N304" s="9">
        <f ca="1">'1ERA SERVICIOS GENERALES'!L71</f>
        <v>0</v>
      </c>
      <c r="O304" s="9">
        <f ca="1">'1ERA SERVICIOS GENERALES'!M71</f>
        <v>0</v>
      </c>
      <c r="P304" s="9">
        <f ca="1">'1ERA SERVICIOS GENERALES'!N71</f>
        <v>0</v>
      </c>
      <c r="Q304" s="9">
        <f ca="1">'1ERA SERVICIOS GENERALES'!O71</f>
        <v>0</v>
      </c>
      <c r="R304" s="9">
        <f ca="1">'1ERA SERVICIOS GENERALES'!P71</f>
        <v>0</v>
      </c>
      <c r="S304" s="9">
        <f ca="1">'1ERA SERVICIOS GENERALES'!Q71</f>
        <v>0</v>
      </c>
      <c r="T304" s="9">
        <f ca="1">'1ERA SERVICIOS GENERALES'!R71</f>
        <v>0</v>
      </c>
      <c r="U304" s="9">
        <f ca="1">'1ERA SERVICIOS GENERALES'!S71</f>
        <v>0</v>
      </c>
    </row>
    <row r="305" spans="1:21" ht="39.75" customHeight="1">
      <c r="A305" s="30"/>
      <c r="B305" s="30"/>
      <c r="C305" s="5" t="s">
        <v>349</v>
      </c>
      <c r="D305" s="9">
        <f ca="1">'1ERA SERVICIOS GENERALES'!B72</f>
        <v>1</v>
      </c>
      <c r="E305" s="9">
        <f>'1ERA SERVICIOS GENERALES'!C72</f>
        <v>0</v>
      </c>
      <c r="F305" s="9" t="str">
        <f ca="1">'1ERA SERVICIOS GENERALES'!D72</f>
        <v>ASCENDENTE</v>
      </c>
      <c r="G305" s="9" t="str">
        <f ca="1">'1ERA SERVICIOS GENERALES'!E72</f>
        <v>BITACORA OPERATIVA</v>
      </c>
      <c r="H305" s="9">
        <f ca="1">'1ERA SERVICIOS GENERALES'!F72</f>
        <v>0</v>
      </c>
      <c r="I305" s="9">
        <f ca="1">'1ERA SERVICIOS GENERALES'!G72</f>
        <v>0</v>
      </c>
      <c r="J305" s="9">
        <f ca="1">'1ERA SERVICIOS GENERALES'!H72</f>
        <v>0</v>
      </c>
      <c r="K305" s="9">
        <f ca="1">'1ERA SERVICIOS GENERALES'!I72</f>
        <v>0</v>
      </c>
      <c r="L305" s="9">
        <f ca="1">'1ERA SERVICIOS GENERALES'!J72</f>
        <v>0</v>
      </c>
      <c r="M305" s="9">
        <f ca="1">'1ERA SERVICIOS GENERALES'!K72</f>
        <v>0</v>
      </c>
      <c r="N305" s="9">
        <f ca="1">'1ERA SERVICIOS GENERALES'!L72</f>
        <v>0</v>
      </c>
      <c r="O305" s="9">
        <f ca="1">'1ERA SERVICIOS GENERALES'!M72</f>
        <v>0</v>
      </c>
      <c r="P305" s="9">
        <f ca="1">'1ERA SERVICIOS GENERALES'!N72</f>
        <v>0</v>
      </c>
      <c r="Q305" s="9">
        <f ca="1">'1ERA SERVICIOS GENERALES'!O72</f>
        <v>0</v>
      </c>
      <c r="R305" s="9">
        <f ca="1">'1ERA SERVICIOS GENERALES'!P72</f>
        <v>0</v>
      </c>
      <c r="S305" s="9">
        <f ca="1">'1ERA SERVICIOS GENERALES'!Q72</f>
        <v>0</v>
      </c>
      <c r="T305" s="9">
        <f ca="1">'1ERA SERVICIOS GENERALES'!R72</f>
        <v>0</v>
      </c>
      <c r="U305" s="9">
        <f ca="1">'1ERA SERVICIOS GENERALES'!S72</f>
        <v>0</v>
      </c>
    </row>
    <row r="306" spans="1:21" ht="39.75" customHeight="1">
      <c r="A306" s="30"/>
      <c r="B306" s="30"/>
      <c r="C306" s="5" t="s">
        <v>350</v>
      </c>
      <c r="D306" s="9">
        <f ca="1">'1ERA SERVICIOS GENERALES'!B73</f>
        <v>1</v>
      </c>
      <c r="E306" s="9">
        <f>'1ERA SERVICIOS GENERALES'!C73</f>
        <v>0</v>
      </c>
      <c r="F306" s="9" t="str">
        <f ca="1">'1ERA SERVICIOS GENERALES'!D73</f>
        <v>ASCENDENTE</v>
      </c>
      <c r="G306" s="9" t="str">
        <f ca="1">'1ERA SERVICIOS GENERALES'!E73</f>
        <v>BITACORA OPERATIVA</v>
      </c>
      <c r="H306" s="9">
        <f ca="1">'1ERA SERVICIOS GENERALES'!F73</f>
        <v>0</v>
      </c>
      <c r="I306" s="9">
        <f ca="1">'1ERA SERVICIOS GENERALES'!G73</f>
        <v>0</v>
      </c>
      <c r="J306" s="9">
        <f ca="1">'1ERA SERVICIOS GENERALES'!H73</f>
        <v>0</v>
      </c>
      <c r="K306" s="9">
        <f ca="1">'1ERA SERVICIOS GENERALES'!I73</f>
        <v>0</v>
      </c>
      <c r="L306" s="9">
        <f ca="1">'1ERA SERVICIOS GENERALES'!J73</f>
        <v>0</v>
      </c>
      <c r="M306" s="9">
        <f ca="1">'1ERA SERVICIOS GENERALES'!K73</f>
        <v>0</v>
      </c>
      <c r="N306" s="9">
        <f ca="1">'1ERA SERVICIOS GENERALES'!L73</f>
        <v>0</v>
      </c>
      <c r="O306" s="9">
        <f ca="1">'1ERA SERVICIOS GENERALES'!M73</f>
        <v>0</v>
      </c>
      <c r="P306" s="9">
        <f ca="1">'1ERA SERVICIOS GENERALES'!N73</f>
        <v>0</v>
      </c>
      <c r="Q306" s="9">
        <f ca="1">'1ERA SERVICIOS GENERALES'!O73</f>
        <v>0</v>
      </c>
      <c r="R306" s="9">
        <f ca="1">'1ERA SERVICIOS GENERALES'!P73</f>
        <v>0</v>
      </c>
      <c r="S306" s="9">
        <f ca="1">'1ERA SERVICIOS GENERALES'!Q73</f>
        <v>0</v>
      </c>
      <c r="T306" s="9">
        <f ca="1">'1ERA SERVICIOS GENERALES'!R73</f>
        <v>0</v>
      </c>
      <c r="U306" s="9">
        <f ca="1">'1ERA SERVICIOS GENERALES'!S73</f>
        <v>0</v>
      </c>
    </row>
    <row r="307" spans="1:21" ht="39.75" customHeight="1">
      <c r="A307" s="30"/>
      <c r="B307" s="30"/>
      <c r="C307" s="5" t="s">
        <v>351</v>
      </c>
      <c r="D307" s="9">
        <f ca="1">'1ERA SERVICIOS GENERALES'!B74</f>
        <v>1</v>
      </c>
      <c r="E307" s="9">
        <f>'1ERA SERVICIOS GENERALES'!C74</f>
        <v>0</v>
      </c>
      <c r="F307" s="9" t="str">
        <f ca="1">'1ERA SERVICIOS GENERALES'!D74</f>
        <v>ASCENDENTE</v>
      </c>
      <c r="G307" s="9" t="str">
        <f ca="1">'1ERA SERVICIOS GENERALES'!E74</f>
        <v>BITACORA OPERATIVA</v>
      </c>
      <c r="H307" s="9">
        <f ca="1">'1ERA SERVICIOS GENERALES'!F74</f>
        <v>0</v>
      </c>
      <c r="I307" s="9">
        <f ca="1">'1ERA SERVICIOS GENERALES'!G74</f>
        <v>0</v>
      </c>
      <c r="J307" s="9">
        <f ca="1">'1ERA SERVICIOS GENERALES'!H74</f>
        <v>0</v>
      </c>
      <c r="K307" s="9">
        <f ca="1">'1ERA SERVICIOS GENERALES'!I74</f>
        <v>0</v>
      </c>
      <c r="L307" s="9">
        <f ca="1">'1ERA SERVICIOS GENERALES'!J74</f>
        <v>0</v>
      </c>
      <c r="M307" s="9">
        <f ca="1">'1ERA SERVICIOS GENERALES'!K74</f>
        <v>0</v>
      </c>
      <c r="N307" s="9">
        <f ca="1">'1ERA SERVICIOS GENERALES'!L74</f>
        <v>0</v>
      </c>
      <c r="O307" s="9">
        <f ca="1">'1ERA SERVICIOS GENERALES'!M74</f>
        <v>0</v>
      </c>
      <c r="P307" s="9">
        <f ca="1">'1ERA SERVICIOS GENERALES'!N74</f>
        <v>0</v>
      </c>
      <c r="Q307" s="9">
        <f ca="1">'1ERA SERVICIOS GENERALES'!O74</f>
        <v>0</v>
      </c>
      <c r="R307" s="9">
        <f ca="1">'1ERA SERVICIOS GENERALES'!P74</f>
        <v>0</v>
      </c>
      <c r="S307" s="9">
        <f ca="1">'1ERA SERVICIOS GENERALES'!Q74</f>
        <v>0</v>
      </c>
      <c r="T307" s="9">
        <f ca="1">'1ERA SERVICIOS GENERALES'!R74</f>
        <v>0</v>
      </c>
      <c r="U307" s="9">
        <f ca="1">'1ERA SERVICIOS GENERALES'!S74</f>
        <v>0</v>
      </c>
    </row>
    <row r="308" spans="1:21" ht="39.75" customHeight="1">
      <c r="A308" s="30"/>
      <c r="B308" s="30"/>
      <c r="C308" s="5" t="s">
        <v>352</v>
      </c>
      <c r="D308" s="9">
        <f ca="1">'1ERA SERVICIOS GENERALES'!B75</f>
        <v>1</v>
      </c>
      <c r="E308" s="9">
        <f>'1ERA SERVICIOS GENERALES'!C75</f>
        <v>0</v>
      </c>
      <c r="F308" s="9" t="str">
        <f ca="1">'1ERA SERVICIOS GENERALES'!D75</f>
        <v>ASCENDENTE</v>
      </c>
      <c r="G308" s="9" t="str">
        <f ca="1">'1ERA SERVICIOS GENERALES'!E75</f>
        <v>BITACORA OPERATIVA</v>
      </c>
      <c r="H308" s="9">
        <f ca="1">'1ERA SERVICIOS GENERALES'!F75</f>
        <v>0</v>
      </c>
      <c r="I308" s="9">
        <f ca="1">'1ERA SERVICIOS GENERALES'!G75</f>
        <v>0</v>
      </c>
      <c r="J308" s="9">
        <f ca="1">'1ERA SERVICIOS GENERALES'!H75</f>
        <v>0</v>
      </c>
      <c r="K308" s="9">
        <f ca="1">'1ERA SERVICIOS GENERALES'!I75</f>
        <v>0</v>
      </c>
      <c r="L308" s="9">
        <f ca="1">'1ERA SERVICIOS GENERALES'!J75</f>
        <v>1</v>
      </c>
      <c r="M308" s="9">
        <f ca="1">'1ERA SERVICIOS GENERALES'!K75</f>
        <v>0</v>
      </c>
      <c r="N308" s="9">
        <f ca="1">'1ERA SERVICIOS GENERALES'!L75</f>
        <v>1</v>
      </c>
      <c r="O308" s="9">
        <f ca="1">'1ERA SERVICIOS GENERALES'!M75</f>
        <v>0</v>
      </c>
      <c r="P308" s="9">
        <f ca="1">'1ERA SERVICIOS GENERALES'!N75</f>
        <v>0</v>
      </c>
      <c r="Q308" s="9">
        <f ca="1">'1ERA SERVICIOS GENERALES'!O75</f>
        <v>0</v>
      </c>
      <c r="R308" s="9">
        <f ca="1">'1ERA SERVICIOS GENERALES'!P75</f>
        <v>0</v>
      </c>
      <c r="S308" s="9">
        <f ca="1">'1ERA SERVICIOS GENERALES'!Q75</f>
        <v>0</v>
      </c>
      <c r="T308" s="9">
        <f ca="1">'1ERA SERVICIOS GENERALES'!R75</f>
        <v>0</v>
      </c>
      <c r="U308" s="9">
        <f ca="1">'1ERA SERVICIOS GENERALES'!S75</f>
        <v>2</v>
      </c>
    </row>
    <row r="309" spans="1:21" ht="39.75" customHeight="1">
      <c r="A309" s="30"/>
      <c r="B309" s="30"/>
      <c r="C309" s="5" t="s">
        <v>353</v>
      </c>
      <c r="D309" s="9">
        <f ca="1">'1ERA SERVICIOS GENERALES'!B76</f>
        <v>1</v>
      </c>
      <c r="E309" s="9">
        <f>'1ERA SERVICIOS GENERALES'!C76</f>
        <v>0</v>
      </c>
      <c r="F309" s="9" t="str">
        <f ca="1">'1ERA SERVICIOS GENERALES'!D76</f>
        <v>ASCENDENTE</v>
      </c>
      <c r="G309" s="9" t="str">
        <f ca="1">'1ERA SERVICIOS GENERALES'!E76</f>
        <v>BITACORA OPERATIVA</v>
      </c>
      <c r="H309" s="9">
        <f ca="1">'1ERA SERVICIOS GENERALES'!F76</f>
        <v>0</v>
      </c>
      <c r="I309" s="9">
        <f ca="1">'1ERA SERVICIOS GENERALES'!G76</f>
        <v>0</v>
      </c>
      <c r="J309" s="9">
        <f ca="1">'1ERA SERVICIOS GENERALES'!H76</f>
        <v>0</v>
      </c>
      <c r="K309" s="9">
        <f ca="1">'1ERA SERVICIOS GENERALES'!I76</f>
        <v>0</v>
      </c>
      <c r="L309" s="9">
        <f ca="1">'1ERA SERVICIOS GENERALES'!J76</f>
        <v>3</v>
      </c>
      <c r="M309" s="9">
        <f ca="1">'1ERA SERVICIOS GENERALES'!K76</f>
        <v>6</v>
      </c>
      <c r="N309" s="9">
        <f ca="1">'1ERA SERVICIOS GENERALES'!L76</f>
        <v>4</v>
      </c>
      <c r="O309" s="9">
        <f ca="1">'1ERA SERVICIOS GENERALES'!M76</f>
        <v>0</v>
      </c>
      <c r="P309" s="9">
        <f ca="1">'1ERA SERVICIOS GENERALES'!N76</f>
        <v>0</v>
      </c>
      <c r="Q309" s="9">
        <f ca="1">'1ERA SERVICIOS GENERALES'!O76</f>
        <v>0</v>
      </c>
      <c r="R309" s="9">
        <f ca="1">'1ERA SERVICIOS GENERALES'!P76</f>
        <v>0</v>
      </c>
      <c r="S309" s="9">
        <f ca="1">'1ERA SERVICIOS GENERALES'!Q76</f>
        <v>0</v>
      </c>
      <c r="T309" s="9">
        <f ca="1">'1ERA SERVICIOS GENERALES'!R76</f>
        <v>0</v>
      </c>
      <c r="U309" s="9">
        <f ca="1">'1ERA SERVICIOS GENERALES'!S76</f>
        <v>13</v>
      </c>
    </row>
    <row r="310" spans="1:21" ht="39.75" customHeight="1">
      <c r="A310" s="30"/>
      <c r="B310" s="30"/>
      <c r="C310" s="5" t="s">
        <v>354</v>
      </c>
      <c r="D310" s="9">
        <f ca="1">'1ERA SERVICIOS GENERALES'!B77</f>
        <v>1</v>
      </c>
      <c r="E310" s="9">
        <f>'1ERA SERVICIOS GENERALES'!C77</f>
        <v>0</v>
      </c>
      <c r="F310" s="9" t="str">
        <f ca="1">'1ERA SERVICIOS GENERALES'!D77</f>
        <v>ASCENDENTE</v>
      </c>
      <c r="G310" s="9" t="str">
        <f ca="1">'1ERA SERVICIOS GENERALES'!E77</f>
        <v>BITACORA OPERATIVA</v>
      </c>
      <c r="H310" s="9">
        <f ca="1">'1ERA SERVICIOS GENERALES'!F77</f>
        <v>0</v>
      </c>
      <c r="I310" s="9">
        <f ca="1">'1ERA SERVICIOS GENERALES'!G77</f>
        <v>0</v>
      </c>
      <c r="J310" s="9">
        <f ca="1">'1ERA SERVICIOS GENERALES'!H77</f>
        <v>0</v>
      </c>
      <c r="K310" s="9">
        <f ca="1">'1ERA SERVICIOS GENERALES'!I77</f>
        <v>0</v>
      </c>
      <c r="L310" s="9">
        <f ca="1">'1ERA SERVICIOS GENERALES'!J77</f>
        <v>3</v>
      </c>
      <c r="M310" s="9">
        <f ca="1">'1ERA SERVICIOS GENERALES'!K77</f>
        <v>7</v>
      </c>
      <c r="N310" s="9">
        <f ca="1">'1ERA SERVICIOS GENERALES'!L77</f>
        <v>4</v>
      </c>
      <c r="O310" s="9">
        <f ca="1">'1ERA SERVICIOS GENERALES'!M77</f>
        <v>0</v>
      </c>
      <c r="P310" s="9">
        <f ca="1">'1ERA SERVICIOS GENERALES'!N77</f>
        <v>0</v>
      </c>
      <c r="Q310" s="9">
        <f ca="1">'1ERA SERVICIOS GENERALES'!O77</f>
        <v>0</v>
      </c>
      <c r="R310" s="9">
        <f ca="1">'1ERA SERVICIOS GENERALES'!P77</f>
        <v>0</v>
      </c>
      <c r="S310" s="9">
        <f ca="1">'1ERA SERVICIOS GENERALES'!Q77</f>
        <v>0</v>
      </c>
      <c r="T310" s="9">
        <f ca="1">'1ERA SERVICIOS GENERALES'!R77</f>
        <v>0</v>
      </c>
      <c r="U310" s="9">
        <f ca="1">'1ERA SERVICIOS GENERALES'!S77</f>
        <v>14</v>
      </c>
    </row>
    <row r="311" spans="1:21" ht="39.75" customHeight="1">
      <c r="A311" s="30"/>
      <c r="B311" s="30"/>
      <c r="C311" s="5" t="s">
        <v>355</v>
      </c>
      <c r="D311" s="9">
        <f ca="1">'1ERA SERVICIOS GENERALES'!B78</f>
        <v>1</v>
      </c>
      <c r="E311" s="9">
        <f>'1ERA SERVICIOS GENERALES'!C78</f>
        <v>0</v>
      </c>
      <c r="F311" s="9" t="str">
        <f ca="1">'1ERA SERVICIOS GENERALES'!D78</f>
        <v>ASCENDENTE</v>
      </c>
      <c r="G311" s="9" t="str">
        <f ca="1">'1ERA SERVICIOS GENERALES'!E78</f>
        <v>BITACORA OPERATIVA</v>
      </c>
      <c r="H311" s="9">
        <f ca="1">'1ERA SERVICIOS GENERALES'!F78</f>
        <v>0</v>
      </c>
      <c r="I311" s="9">
        <f ca="1">'1ERA SERVICIOS GENERALES'!G78</f>
        <v>0</v>
      </c>
      <c r="J311" s="9">
        <f ca="1">'1ERA SERVICIOS GENERALES'!H78</f>
        <v>0</v>
      </c>
      <c r="K311" s="9">
        <f ca="1">'1ERA SERVICIOS GENERALES'!I78</f>
        <v>0</v>
      </c>
      <c r="L311" s="9">
        <f ca="1">'1ERA SERVICIOS GENERALES'!J78</f>
        <v>0</v>
      </c>
      <c r="M311" s="9">
        <f ca="1">'1ERA SERVICIOS GENERALES'!K78</f>
        <v>0</v>
      </c>
      <c r="N311" s="9">
        <f ca="1">'1ERA SERVICIOS GENERALES'!L78</f>
        <v>0</v>
      </c>
      <c r="O311" s="9">
        <f ca="1">'1ERA SERVICIOS GENERALES'!M78</f>
        <v>0</v>
      </c>
      <c r="P311" s="9">
        <f ca="1">'1ERA SERVICIOS GENERALES'!N78</f>
        <v>0</v>
      </c>
      <c r="Q311" s="9">
        <f ca="1">'1ERA SERVICIOS GENERALES'!O78</f>
        <v>0</v>
      </c>
      <c r="R311" s="9">
        <f ca="1">'1ERA SERVICIOS GENERALES'!P78</f>
        <v>0</v>
      </c>
      <c r="S311" s="9">
        <f ca="1">'1ERA SERVICIOS GENERALES'!Q78</f>
        <v>0</v>
      </c>
      <c r="T311" s="9">
        <f ca="1">'1ERA SERVICIOS GENERALES'!R78</f>
        <v>0</v>
      </c>
      <c r="U311" s="9">
        <f ca="1">'1ERA SERVICIOS GENERALES'!S78</f>
        <v>0</v>
      </c>
    </row>
    <row r="312" spans="1:21" ht="39.75" customHeight="1">
      <c r="A312" s="30"/>
      <c r="B312" s="30"/>
      <c r="C312" s="14" t="s">
        <v>356</v>
      </c>
      <c r="D312" s="9">
        <f ca="1">'1ERA SERVICIOS GENERALES'!B79</f>
        <v>1</v>
      </c>
      <c r="E312" s="9">
        <f>'1ERA SERVICIOS GENERALES'!C79</f>
        <v>0</v>
      </c>
      <c r="F312" s="9" t="str">
        <f ca="1">'1ERA SERVICIOS GENERALES'!D79</f>
        <v>ASCENDENTE</v>
      </c>
      <c r="G312" s="9" t="str">
        <f ca="1">'1ERA SERVICIOS GENERALES'!E79</f>
        <v>BITACORA OPERATIVA</v>
      </c>
      <c r="H312" s="9">
        <f ca="1">'1ERA SERVICIOS GENERALES'!F79</f>
        <v>0</v>
      </c>
      <c r="I312" s="9">
        <f ca="1">'1ERA SERVICIOS GENERALES'!G79</f>
        <v>0</v>
      </c>
      <c r="J312" s="9">
        <f ca="1">'1ERA SERVICIOS GENERALES'!H79</f>
        <v>0</v>
      </c>
      <c r="K312" s="9">
        <f ca="1">'1ERA SERVICIOS GENERALES'!I79</f>
        <v>0</v>
      </c>
      <c r="L312" s="9">
        <f ca="1">'1ERA SERVICIOS GENERALES'!J79</f>
        <v>0</v>
      </c>
      <c r="M312" s="9">
        <f ca="1">'1ERA SERVICIOS GENERALES'!K79</f>
        <v>0</v>
      </c>
      <c r="N312" s="9">
        <f ca="1">'1ERA SERVICIOS GENERALES'!L79</f>
        <v>0</v>
      </c>
      <c r="O312" s="9">
        <f ca="1">'1ERA SERVICIOS GENERALES'!M79</f>
        <v>0</v>
      </c>
      <c r="P312" s="9">
        <f ca="1">'1ERA SERVICIOS GENERALES'!N79</f>
        <v>0</v>
      </c>
      <c r="Q312" s="9">
        <f ca="1">'1ERA SERVICIOS GENERALES'!O79</f>
        <v>0</v>
      </c>
      <c r="R312" s="9">
        <f ca="1">'1ERA SERVICIOS GENERALES'!P79</f>
        <v>0</v>
      </c>
      <c r="S312" s="9">
        <f ca="1">'1ERA SERVICIOS GENERALES'!Q79</f>
        <v>0</v>
      </c>
      <c r="T312" s="9">
        <f ca="1">'1ERA SERVICIOS GENERALES'!R79</f>
        <v>0</v>
      </c>
      <c r="U312" s="9">
        <f ca="1">'1ERA SERVICIOS GENERALES'!S79</f>
        <v>0</v>
      </c>
    </row>
    <row r="313" spans="1:21" ht="39.75" customHeight="1">
      <c r="A313" s="30"/>
      <c r="B313" s="30"/>
      <c r="C313" s="14" t="s">
        <v>357</v>
      </c>
      <c r="D313" s="9">
        <f ca="1">'1ERA SERVICIOS GENERALES'!B80</f>
        <v>1</v>
      </c>
      <c r="E313" s="9">
        <f>'1ERA SERVICIOS GENERALES'!C80</f>
        <v>0</v>
      </c>
      <c r="F313" s="9" t="str">
        <f ca="1">'1ERA SERVICIOS GENERALES'!D80</f>
        <v>ASCENDENTE</v>
      </c>
      <c r="G313" s="9" t="str">
        <f ca="1">'1ERA SERVICIOS GENERALES'!E80</f>
        <v>BITACORA OPERATIVA</v>
      </c>
      <c r="H313" s="9">
        <f ca="1">'1ERA SERVICIOS GENERALES'!F80</f>
        <v>0</v>
      </c>
      <c r="I313" s="9">
        <f ca="1">'1ERA SERVICIOS GENERALES'!G80</f>
        <v>0</v>
      </c>
      <c r="J313" s="9">
        <f ca="1">'1ERA SERVICIOS GENERALES'!H80</f>
        <v>0</v>
      </c>
      <c r="K313" s="9">
        <f ca="1">'1ERA SERVICIOS GENERALES'!I80</f>
        <v>0</v>
      </c>
      <c r="L313" s="9">
        <f ca="1">'1ERA SERVICIOS GENERALES'!J80</f>
        <v>0</v>
      </c>
      <c r="M313" s="9">
        <f ca="1">'1ERA SERVICIOS GENERALES'!K80</f>
        <v>0</v>
      </c>
      <c r="N313" s="9">
        <f ca="1">'1ERA SERVICIOS GENERALES'!L80</f>
        <v>0</v>
      </c>
      <c r="O313" s="9">
        <f ca="1">'1ERA SERVICIOS GENERALES'!M80</f>
        <v>0</v>
      </c>
      <c r="P313" s="9">
        <f ca="1">'1ERA SERVICIOS GENERALES'!N80</f>
        <v>0</v>
      </c>
      <c r="Q313" s="9">
        <f ca="1">'1ERA SERVICIOS GENERALES'!O80</f>
        <v>0</v>
      </c>
      <c r="R313" s="9">
        <f ca="1">'1ERA SERVICIOS GENERALES'!P80</f>
        <v>0</v>
      </c>
      <c r="S313" s="9">
        <f ca="1">'1ERA SERVICIOS GENERALES'!Q80</f>
        <v>0</v>
      </c>
      <c r="T313" s="9">
        <f ca="1">'1ERA SERVICIOS GENERALES'!R80</f>
        <v>0</v>
      </c>
      <c r="U313" s="9">
        <f ca="1">'1ERA SERVICIOS GENERALES'!S80</f>
        <v>0</v>
      </c>
    </row>
    <row r="314" spans="1:21" ht="39.75" customHeight="1">
      <c r="A314" s="30"/>
      <c r="B314" s="30"/>
      <c r="C314" s="14" t="s">
        <v>358</v>
      </c>
      <c r="D314" s="9">
        <f ca="1">'1ERA SERVICIOS GENERALES'!B81</f>
        <v>1</v>
      </c>
      <c r="E314" s="9">
        <f>'1ERA SERVICIOS GENERALES'!C81</f>
        <v>0</v>
      </c>
      <c r="F314" s="9" t="str">
        <f ca="1">'1ERA SERVICIOS GENERALES'!D81</f>
        <v>ASCENDENTE</v>
      </c>
      <c r="G314" s="9" t="str">
        <f ca="1">'1ERA SERVICIOS GENERALES'!E81</f>
        <v>BITACORA OPERATIVA</v>
      </c>
      <c r="H314" s="9">
        <f ca="1">'1ERA SERVICIOS GENERALES'!F81</f>
        <v>0</v>
      </c>
      <c r="I314" s="9">
        <f ca="1">'1ERA SERVICIOS GENERALES'!G81</f>
        <v>0</v>
      </c>
      <c r="J314" s="9">
        <f ca="1">'1ERA SERVICIOS GENERALES'!H81</f>
        <v>0</v>
      </c>
      <c r="K314" s="9">
        <f ca="1">'1ERA SERVICIOS GENERALES'!I81</f>
        <v>0</v>
      </c>
      <c r="L314" s="9">
        <f ca="1">'1ERA SERVICIOS GENERALES'!J81</f>
        <v>163</v>
      </c>
      <c r="M314" s="9">
        <f ca="1">'1ERA SERVICIOS GENERALES'!K81</f>
        <v>167</v>
      </c>
      <c r="N314" s="9">
        <f ca="1">'1ERA SERVICIOS GENERALES'!L81</f>
        <v>190</v>
      </c>
      <c r="O314" s="9">
        <f ca="1">'1ERA SERVICIOS GENERALES'!M81</f>
        <v>0</v>
      </c>
      <c r="P314" s="9">
        <f ca="1">'1ERA SERVICIOS GENERALES'!N81</f>
        <v>0</v>
      </c>
      <c r="Q314" s="9">
        <f ca="1">'1ERA SERVICIOS GENERALES'!O81</f>
        <v>0</v>
      </c>
      <c r="R314" s="9">
        <f ca="1">'1ERA SERVICIOS GENERALES'!P81</f>
        <v>0</v>
      </c>
      <c r="S314" s="9">
        <f ca="1">'1ERA SERVICIOS GENERALES'!Q81</f>
        <v>0</v>
      </c>
      <c r="T314" s="9">
        <f ca="1">'1ERA SERVICIOS GENERALES'!R81</f>
        <v>0</v>
      </c>
      <c r="U314" s="9">
        <f ca="1">'1ERA SERVICIOS GENERALES'!S81</f>
        <v>520</v>
      </c>
    </row>
    <row r="315" spans="1:21" ht="39.75" customHeight="1">
      <c r="A315" s="30"/>
      <c r="B315" s="31"/>
      <c r="C315" s="14" t="s">
        <v>359</v>
      </c>
      <c r="D315" s="9">
        <f ca="1">'1ERA SERVICIOS GENERALES'!B82</f>
        <v>1</v>
      </c>
      <c r="E315" s="9">
        <f>'1ERA SERVICIOS GENERALES'!C82</f>
        <v>0</v>
      </c>
      <c r="F315" s="9" t="str">
        <f ca="1">'1ERA SERVICIOS GENERALES'!D82</f>
        <v>ASCENDENTE</v>
      </c>
      <c r="G315" s="9" t="str">
        <f ca="1">'1ERA SERVICIOS GENERALES'!E82</f>
        <v>BITACORA OPERATIVA</v>
      </c>
      <c r="H315" s="9">
        <f ca="1">'1ERA SERVICIOS GENERALES'!F82</f>
        <v>0</v>
      </c>
      <c r="I315" s="9">
        <f ca="1">'1ERA SERVICIOS GENERALES'!G82</f>
        <v>0</v>
      </c>
      <c r="J315" s="9">
        <f ca="1">'1ERA SERVICIOS GENERALES'!H82</f>
        <v>0</v>
      </c>
      <c r="K315" s="9">
        <f ca="1">'1ERA SERVICIOS GENERALES'!I82</f>
        <v>0</v>
      </c>
      <c r="L315" s="9">
        <f ca="1">'1ERA SERVICIOS GENERALES'!J82</f>
        <v>0</v>
      </c>
      <c r="M315" s="9">
        <f ca="1">'1ERA SERVICIOS GENERALES'!K82</f>
        <v>0</v>
      </c>
      <c r="N315" s="9">
        <f ca="1">'1ERA SERVICIOS GENERALES'!L82</f>
        <v>0</v>
      </c>
      <c r="O315" s="9">
        <f ca="1">'1ERA SERVICIOS GENERALES'!M82</f>
        <v>0</v>
      </c>
      <c r="P315" s="9">
        <f ca="1">'1ERA SERVICIOS GENERALES'!N82</f>
        <v>0</v>
      </c>
      <c r="Q315" s="9">
        <f ca="1">'1ERA SERVICIOS GENERALES'!O82</f>
        <v>0</v>
      </c>
      <c r="R315" s="9">
        <f ca="1">'1ERA SERVICIOS GENERALES'!P82</f>
        <v>0</v>
      </c>
      <c r="S315" s="9">
        <f ca="1">'1ERA SERVICIOS GENERALES'!Q82</f>
        <v>0</v>
      </c>
      <c r="T315" s="9">
        <f ca="1">'1ERA SERVICIOS GENERALES'!R82</f>
        <v>0</v>
      </c>
      <c r="U315" s="9">
        <f ca="1">'1ERA SERVICIOS GENERALES'!S82</f>
        <v>0</v>
      </c>
    </row>
    <row r="316" spans="1:21" ht="39.75" customHeight="1">
      <c r="A316" s="30"/>
      <c r="B316" s="32" t="s">
        <v>360</v>
      </c>
      <c r="C316" s="5" t="s">
        <v>361</v>
      </c>
      <c r="D316" s="9">
        <f ca="1">'1ERA SERVICIOS GENERALES'!B83</f>
        <v>1</v>
      </c>
      <c r="E316" s="9">
        <f>'1ERA SERVICIOS GENERALES'!C83</f>
        <v>0</v>
      </c>
      <c r="F316" s="9" t="str">
        <f ca="1">'1ERA SERVICIOS GENERALES'!D83</f>
        <v>ASCENDENTE</v>
      </c>
      <c r="G316" s="9" t="str">
        <f ca="1">'1ERA SERVICIOS GENERALES'!E83</f>
        <v>BITACORA OPERATIVA</v>
      </c>
      <c r="H316" s="9">
        <f ca="1">'1ERA SERVICIOS GENERALES'!F83</f>
        <v>0</v>
      </c>
      <c r="I316" s="9">
        <f ca="1">'1ERA SERVICIOS GENERALES'!G83</f>
        <v>0</v>
      </c>
      <c r="J316" s="9">
        <f ca="1">'1ERA SERVICIOS GENERALES'!H83</f>
        <v>0</v>
      </c>
      <c r="K316" s="9">
        <f ca="1">'1ERA SERVICIOS GENERALES'!I83</f>
        <v>0</v>
      </c>
      <c r="L316" s="9">
        <f ca="1">'1ERA SERVICIOS GENERALES'!J83</f>
        <v>0</v>
      </c>
      <c r="M316" s="9">
        <f ca="1">'1ERA SERVICIOS GENERALES'!K83</f>
        <v>0</v>
      </c>
      <c r="N316" s="9">
        <f ca="1">'1ERA SERVICIOS GENERALES'!L83</f>
        <v>0</v>
      </c>
      <c r="O316" s="9">
        <f ca="1">'1ERA SERVICIOS GENERALES'!M83</f>
        <v>0</v>
      </c>
      <c r="P316" s="9">
        <f ca="1">'1ERA SERVICIOS GENERALES'!N83</f>
        <v>0</v>
      </c>
      <c r="Q316" s="9">
        <f ca="1">'1ERA SERVICIOS GENERALES'!O83</f>
        <v>0</v>
      </c>
      <c r="R316" s="9">
        <f ca="1">'1ERA SERVICIOS GENERALES'!P83</f>
        <v>0</v>
      </c>
      <c r="S316" s="9">
        <f ca="1">'1ERA SERVICIOS GENERALES'!Q83</f>
        <v>0</v>
      </c>
      <c r="T316" s="9">
        <f ca="1">'1ERA SERVICIOS GENERALES'!R83</f>
        <v>0</v>
      </c>
      <c r="U316" s="9">
        <f ca="1">'1ERA SERVICIOS GENERALES'!S83</f>
        <v>0</v>
      </c>
    </row>
    <row r="317" spans="1:21" ht="39.75" customHeight="1">
      <c r="A317" s="30"/>
      <c r="B317" s="30"/>
      <c r="C317" s="5" t="s">
        <v>362</v>
      </c>
      <c r="D317" s="9">
        <f ca="1">'1ERA SERVICIOS GENERALES'!B84</f>
        <v>1</v>
      </c>
      <c r="E317" s="9">
        <f>'1ERA SERVICIOS GENERALES'!C84</f>
        <v>0</v>
      </c>
      <c r="F317" s="9" t="str">
        <f ca="1">'1ERA SERVICIOS GENERALES'!D84</f>
        <v>ASCENDENTE</v>
      </c>
      <c r="G317" s="9" t="str">
        <f ca="1">'1ERA SERVICIOS GENERALES'!E84</f>
        <v>BITACORA OPERATIVA</v>
      </c>
      <c r="H317" s="9">
        <f ca="1">'1ERA SERVICIOS GENERALES'!F84</f>
        <v>0</v>
      </c>
      <c r="I317" s="9">
        <f ca="1">'1ERA SERVICIOS GENERALES'!G84</f>
        <v>0</v>
      </c>
      <c r="J317" s="9">
        <f ca="1">'1ERA SERVICIOS GENERALES'!H84</f>
        <v>0</v>
      </c>
      <c r="K317" s="9">
        <f ca="1">'1ERA SERVICIOS GENERALES'!I84</f>
        <v>0</v>
      </c>
      <c r="L317" s="9">
        <f ca="1">'1ERA SERVICIOS GENERALES'!J84</f>
        <v>25</v>
      </c>
      <c r="M317" s="9">
        <f ca="1">'1ERA SERVICIOS GENERALES'!K84</f>
        <v>27</v>
      </c>
      <c r="N317" s="9">
        <f ca="1">'1ERA SERVICIOS GENERALES'!L84</f>
        <v>34</v>
      </c>
      <c r="O317" s="9">
        <f ca="1">'1ERA SERVICIOS GENERALES'!M84</f>
        <v>0</v>
      </c>
      <c r="P317" s="9">
        <f ca="1">'1ERA SERVICIOS GENERALES'!N84</f>
        <v>0</v>
      </c>
      <c r="Q317" s="9">
        <f ca="1">'1ERA SERVICIOS GENERALES'!O84</f>
        <v>0</v>
      </c>
      <c r="R317" s="9">
        <f ca="1">'1ERA SERVICIOS GENERALES'!P84</f>
        <v>0</v>
      </c>
      <c r="S317" s="9">
        <f ca="1">'1ERA SERVICIOS GENERALES'!Q84</f>
        <v>0</v>
      </c>
      <c r="T317" s="9">
        <f ca="1">'1ERA SERVICIOS GENERALES'!R84</f>
        <v>0</v>
      </c>
      <c r="U317" s="9">
        <f ca="1">'1ERA SERVICIOS GENERALES'!S84</f>
        <v>86</v>
      </c>
    </row>
    <row r="318" spans="1:21" ht="39.75" customHeight="1">
      <c r="A318" s="30"/>
      <c r="B318" s="30"/>
      <c r="C318" s="5" t="s">
        <v>363</v>
      </c>
      <c r="D318" s="9">
        <f ca="1">'1ERA SERVICIOS GENERALES'!B85</f>
        <v>1</v>
      </c>
      <c r="E318" s="9">
        <f>'1ERA SERVICIOS GENERALES'!C85</f>
        <v>0</v>
      </c>
      <c r="F318" s="9" t="str">
        <f ca="1">'1ERA SERVICIOS GENERALES'!D85</f>
        <v>ASCENDENTE</v>
      </c>
      <c r="G318" s="9" t="str">
        <f ca="1">'1ERA SERVICIOS GENERALES'!E85</f>
        <v>BITACORA OPERATIVA</v>
      </c>
      <c r="H318" s="9">
        <f ca="1">'1ERA SERVICIOS GENERALES'!F85</f>
        <v>0</v>
      </c>
      <c r="I318" s="9">
        <f ca="1">'1ERA SERVICIOS GENERALES'!G85</f>
        <v>0</v>
      </c>
      <c r="J318" s="9">
        <f ca="1">'1ERA SERVICIOS GENERALES'!H85</f>
        <v>0</v>
      </c>
      <c r="K318" s="9">
        <f ca="1">'1ERA SERVICIOS GENERALES'!I85</f>
        <v>0</v>
      </c>
      <c r="L318" s="9">
        <f ca="1">'1ERA SERVICIOS GENERALES'!J85</f>
        <v>39</v>
      </c>
      <c r="M318" s="9">
        <f ca="1">'1ERA SERVICIOS GENERALES'!K85</f>
        <v>25</v>
      </c>
      <c r="N318" s="9">
        <f ca="1">'1ERA SERVICIOS GENERALES'!L85</f>
        <v>47</v>
      </c>
      <c r="O318" s="9">
        <f ca="1">'1ERA SERVICIOS GENERALES'!M85</f>
        <v>0</v>
      </c>
      <c r="P318" s="9">
        <f ca="1">'1ERA SERVICIOS GENERALES'!N85</f>
        <v>0</v>
      </c>
      <c r="Q318" s="9">
        <f ca="1">'1ERA SERVICIOS GENERALES'!O85</f>
        <v>0</v>
      </c>
      <c r="R318" s="9">
        <f ca="1">'1ERA SERVICIOS GENERALES'!P85</f>
        <v>0</v>
      </c>
      <c r="S318" s="9">
        <f ca="1">'1ERA SERVICIOS GENERALES'!Q85</f>
        <v>0</v>
      </c>
      <c r="T318" s="9">
        <f ca="1">'1ERA SERVICIOS GENERALES'!R85</f>
        <v>0</v>
      </c>
      <c r="U318" s="9">
        <f ca="1">'1ERA SERVICIOS GENERALES'!S85</f>
        <v>111</v>
      </c>
    </row>
    <row r="319" spans="1:21" ht="39.75" customHeight="1">
      <c r="A319" s="30"/>
      <c r="B319" s="30"/>
      <c r="C319" s="5" t="s">
        <v>364</v>
      </c>
      <c r="D319" s="9">
        <f ca="1">'1ERA SERVICIOS GENERALES'!B86</f>
        <v>1</v>
      </c>
      <c r="E319" s="9">
        <f>'1ERA SERVICIOS GENERALES'!C86</f>
        <v>0</v>
      </c>
      <c r="F319" s="9" t="str">
        <f ca="1">'1ERA SERVICIOS GENERALES'!D86</f>
        <v>ASCENDENTE</v>
      </c>
      <c r="G319" s="9" t="str">
        <f ca="1">'1ERA SERVICIOS GENERALES'!E86</f>
        <v>BITACORA OPERATIVA</v>
      </c>
      <c r="H319" s="9">
        <f ca="1">'1ERA SERVICIOS GENERALES'!F86</f>
        <v>0</v>
      </c>
      <c r="I319" s="9">
        <f ca="1">'1ERA SERVICIOS GENERALES'!G86</f>
        <v>0</v>
      </c>
      <c r="J319" s="9">
        <f ca="1">'1ERA SERVICIOS GENERALES'!H86</f>
        <v>0</v>
      </c>
      <c r="K319" s="9">
        <f ca="1">'1ERA SERVICIOS GENERALES'!I86</f>
        <v>0</v>
      </c>
      <c r="L319" s="9">
        <f ca="1">'1ERA SERVICIOS GENERALES'!J86</f>
        <v>1</v>
      </c>
      <c r="M319" s="9">
        <f ca="1">'1ERA SERVICIOS GENERALES'!K86</f>
        <v>5</v>
      </c>
      <c r="N319" s="9">
        <f ca="1">'1ERA SERVICIOS GENERALES'!L86</f>
        <v>6</v>
      </c>
      <c r="O319" s="9">
        <f ca="1">'1ERA SERVICIOS GENERALES'!M86</f>
        <v>0</v>
      </c>
      <c r="P319" s="9">
        <f ca="1">'1ERA SERVICIOS GENERALES'!N86</f>
        <v>0</v>
      </c>
      <c r="Q319" s="9">
        <f ca="1">'1ERA SERVICIOS GENERALES'!O86</f>
        <v>0</v>
      </c>
      <c r="R319" s="9">
        <f ca="1">'1ERA SERVICIOS GENERALES'!P86</f>
        <v>0</v>
      </c>
      <c r="S319" s="9">
        <f ca="1">'1ERA SERVICIOS GENERALES'!Q86</f>
        <v>0</v>
      </c>
      <c r="T319" s="9">
        <f ca="1">'1ERA SERVICIOS GENERALES'!R86</f>
        <v>0</v>
      </c>
      <c r="U319" s="9">
        <f ca="1">'1ERA SERVICIOS GENERALES'!S86</f>
        <v>12</v>
      </c>
    </row>
    <row r="320" spans="1:21" ht="39.75" customHeight="1">
      <c r="A320" s="31"/>
      <c r="B320" s="31"/>
      <c r="C320" s="5" t="s">
        <v>365</v>
      </c>
      <c r="D320" s="9">
        <f ca="1">'1ERA SERVICIOS GENERALES'!B87</f>
        <v>1</v>
      </c>
      <c r="E320" s="9">
        <f>'1ERA SERVICIOS GENERALES'!C87</f>
        <v>0</v>
      </c>
      <c r="F320" s="9" t="str">
        <f ca="1">'1ERA SERVICIOS GENERALES'!D87</f>
        <v>ASCENDENTE</v>
      </c>
      <c r="G320" s="9" t="str">
        <f ca="1">'1ERA SERVICIOS GENERALES'!E87</f>
        <v>BITACORA OPERATIVA</v>
      </c>
      <c r="H320" s="9">
        <f ca="1">'1ERA SERVICIOS GENERALES'!F87</f>
        <v>0</v>
      </c>
      <c r="I320" s="9">
        <f ca="1">'1ERA SERVICIOS GENERALES'!G87</f>
        <v>0</v>
      </c>
      <c r="J320" s="9">
        <f ca="1">'1ERA SERVICIOS GENERALES'!H87</f>
        <v>0</v>
      </c>
      <c r="K320" s="9">
        <f ca="1">'1ERA SERVICIOS GENERALES'!I87</f>
        <v>0</v>
      </c>
      <c r="L320" s="9">
        <f ca="1">'1ERA SERVICIOS GENERALES'!J87</f>
        <v>39</v>
      </c>
      <c r="M320" s="9">
        <f ca="1">'1ERA SERVICIOS GENERALES'!K87</f>
        <v>25</v>
      </c>
      <c r="N320" s="9">
        <f ca="1">'1ERA SERVICIOS GENERALES'!L87</f>
        <v>47</v>
      </c>
      <c r="O320" s="9">
        <f ca="1">'1ERA SERVICIOS GENERALES'!M87</f>
        <v>0</v>
      </c>
      <c r="P320" s="9">
        <f ca="1">'1ERA SERVICIOS GENERALES'!N87</f>
        <v>0</v>
      </c>
      <c r="Q320" s="9">
        <f ca="1">'1ERA SERVICIOS GENERALES'!O87</f>
        <v>0</v>
      </c>
      <c r="R320" s="9">
        <f ca="1">'1ERA SERVICIOS GENERALES'!P87</f>
        <v>0</v>
      </c>
      <c r="S320" s="9">
        <f ca="1">'1ERA SERVICIOS GENERALES'!Q87</f>
        <v>0</v>
      </c>
      <c r="T320" s="9">
        <f ca="1">'1ERA SERVICIOS GENERALES'!R87</f>
        <v>0</v>
      </c>
      <c r="U320" s="9">
        <f ca="1">'1ERA SERVICIOS GENERALES'!S87</f>
        <v>111</v>
      </c>
    </row>
    <row r="321" spans="1:21" ht="39.75" customHeight="1">
      <c r="A321" s="32" t="s">
        <v>366</v>
      </c>
      <c r="B321" s="32" t="s">
        <v>367</v>
      </c>
      <c r="C321" s="5" t="s">
        <v>368</v>
      </c>
      <c r="D321" s="9">
        <f ca="1">'1RA SEGURIDAD PUBLICA'!B2</f>
        <v>1</v>
      </c>
      <c r="E321" s="9">
        <f>'1RA SEGURIDAD PUBLICA'!C2</f>
        <v>0</v>
      </c>
      <c r="F321" s="9" t="str">
        <f ca="1">'1RA SEGURIDAD PUBLICA'!D2</f>
        <v>ASCENDENTE</v>
      </c>
      <c r="G321" s="9" t="str">
        <f ca="1">'1RA SEGURIDAD PUBLICA'!E2</f>
        <v>SESIONES PUBLICAS</v>
      </c>
      <c r="H321" s="9">
        <f ca="1">'1RA SEGURIDAD PUBLICA'!F2</f>
        <v>0</v>
      </c>
      <c r="I321" s="9">
        <f ca="1">'1RA SEGURIDAD PUBLICA'!G2</f>
        <v>0</v>
      </c>
      <c r="J321" s="9">
        <f ca="1">'1RA SEGURIDAD PUBLICA'!H2</f>
        <v>0</v>
      </c>
      <c r="K321" s="9">
        <f ca="1">'1RA SEGURIDAD PUBLICA'!I2</f>
        <v>0</v>
      </c>
      <c r="L321" s="9">
        <f ca="1">'1RA SEGURIDAD PUBLICA'!J2</f>
        <v>0</v>
      </c>
      <c r="M321" s="9">
        <f ca="1">'1RA SEGURIDAD PUBLICA'!K2</f>
        <v>0</v>
      </c>
      <c r="N321" s="9">
        <f ca="1">'1RA SEGURIDAD PUBLICA'!L2</f>
        <v>0</v>
      </c>
      <c r="O321" s="9">
        <f ca="1">'1RA SEGURIDAD PUBLICA'!M2</f>
        <v>0</v>
      </c>
      <c r="P321" s="9">
        <f ca="1">'1RA SEGURIDAD PUBLICA'!N2</f>
        <v>0</v>
      </c>
      <c r="Q321" s="9">
        <f ca="1">'1RA SEGURIDAD PUBLICA'!O2</f>
        <v>0</v>
      </c>
      <c r="R321" s="9">
        <f ca="1">'1RA SEGURIDAD PUBLICA'!P2</f>
        <v>0</v>
      </c>
      <c r="S321" s="9">
        <f ca="1">'1RA SEGURIDAD PUBLICA'!Q2</f>
        <v>0</v>
      </c>
      <c r="T321" s="9">
        <f ca="1">'1RA SEGURIDAD PUBLICA'!R2</f>
        <v>0</v>
      </c>
      <c r="U321" s="9">
        <f ca="1">'1RA SEGURIDAD PUBLICA'!S2</f>
        <v>0</v>
      </c>
    </row>
    <row r="322" spans="1:21" ht="39.75" customHeight="1">
      <c r="A322" s="30"/>
      <c r="B322" s="30"/>
      <c r="C322" s="5" t="s">
        <v>369</v>
      </c>
      <c r="D322" s="9">
        <f ca="1">'1RA SEGURIDAD PUBLICA'!B3</f>
        <v>1</v>
      </c>
      <c r="E322" s="9">
        <f>'1RA SEGURIDAD PUBLICA'!C3</f>
        <v>0</v>
      </c>
      <c r="F322" s="9" t="str">
        <f ca="1">'1RA SEGURIDAD PUBLICA'!D3</f>
        <v>ASCENDENTE</v>
      </c>
      <c r="G322" s="9" t="str">
        <f ca="1">'1RA SEGURIDAD PUBLICA'!E3</f>
        <v>BITACORA DE ATENCION</v>
      </c>
      <c r="H322" s="9">
        <f ca="1">'1RA SEGURIDAD PUBLICA'!F3</f>
        <v>0</v>
      </c>
      <c r="I322" s="9">
        <f ca="1">'1RA SEGURIDAD PUBLICA'!G3</f>
        <v>0</v>
      </c>
      <c r="J322" s="9">
        <f ca="1">'1RA SEGURIDAD PUBLICA'!H3</f>
        <v>0</v>
      </c>
      <c r="K322" s="9">
        <f ca="1">'1RA SEGURIDAD PUBLICA'!I3</f>
        <v>0</v>
      </c>
      <c r="L322" s="9">
        <f ca="1">'1RA SEGURIDAD PUBLICA'!J3</f>
        <v>0</v>
      </c>
      <c r="M322" s="9">
        <f ca="1">'1RA SEGURIDAD PUBLICA'!K3</f>
        <v>0</v>
      </c>
      <c r="N322" s="9">
        <f ca="1">'1RA SEGURIDAD PUBLICA'!L3</f>
        <v>0</v>
      </c>
      <c r="O322" s="9">
        <f ca="1">'1RA SEGURIDAD PUBLICA'!M3</f>
        <v>0</v>
      </c>
      <c r="P322" s="9">
        <f ca="1">'1RA SEGURIDAD PUBLICA'!N3</f>
        <v>0</v>
      </c>
      <c r="Q322" s="9">
        <f ca="1">'1RA SEGURIDAD PUBLICA'!O3</f>
        <v>0</v>
      </c>
      <c r="R322" s="9">
        <f ca="1">'1RA SEGURIDAD PUBLICA'!P3</f>
        <v>0</v>
      </c>
      <c r="S322" s="9">
        <f ca="1">'1RA SEGURIDAD PUBLICA'!Q3</f>
        <v>0</v>
      </c>
      <c r="T322" s="9">
        <f ca="1">'1RA SEGURIDAD PUBLICA'!R3</f>
        <v>0</v>
      </c>
      <c r="U322" s="9">
        <f ca="1">'1RA SEGURIDAD PUBLICA'!S3</f>
        <v>0</v>
      </c>
    </row>
    <row r="323" spans="1:21" ht="39.75" customHeight="1">
      <c r="A323" s="30"/>
      <c r="B323" s="30"/>
      <c r="C323" s="5" t="s">
        <v>370</v>
      </c>
      <c r="D323" s="9">
        <f ca="1">'1RA SEGURIDAD PUBLICA'!B4</f>
        <v>1</v>
      </c>
      <c r="E323" s="9">
        <f>'1RA SEGURIDAD PUBLICA'!C4</f>
        <v>0</v>
      </c>
      <c r="F323" s="9" t="str">
        <f ca="1">'1RA SEGURIDAD PUBLICA'!D4</f>
        <v>ASCENDENTE</v>
      </c>
      <c r="G323" s="9" t="str">
        <f ca="1">'1RA SEGURIDAD PUBLICA'!E4</f>
        <v>BITACORA DE ATENCION</v>
      </c>
      <c r="H323" s="9">
        <f ca="1">'1RA SEGURIDAD PUBLICA'!F4</f>
        <v>0</v>
      </c>
      <c r="I323" s="9">
        <f ca="1">'1RA SEGURIDAD PUBLICA'!G4</f>
        <v>0</v>
      </c>
      <c r="J323" s="9">
        <f ca="1">'1RA SEGURIDAD PUBLICA'!H4</f>
        <v>0</v>
      </c>
      <c r="K323" s="9">
        <f ca="1">'1RA SEGURIDAD PUBLICA'!I4</f>
        <v>0</v>
      </c>
      <c r="L323" s="9">
        <f ca="1">'1RA SEGURIDAD PUBLICA'!J4</f>
        <v>0</v>
      </c>
      <c r="M323" s="9">
        <f ca="1">'1RA SEGURIDAD PUBLICA'!K4</f>
        <v>0</v>
      </c>
      <c r="N323" s="9">
        <f ca="1">'1RA SEGURIDAD PUBLICA'!L4</f>
        <v>0</v>
      </c>
      <c r="O323" s="9">
        <f ca="1">'1RA SEGURIDAD PUBLICA'!M4</f>
        <v>0</v>
      </c>
      <c r="P323" s="9">
        <f ca="1">'1RA SEGURIDAD PUBLICA'!N4</f>
        <v>0</v>
      </c>
      <c r="Q323" s="9">
        <f ca="1">'1RA SEGURIDAD PUBLICA'!O4</f>
        <v>0</v>
      </c>
      <c r="R323" s="9">
        <f ca="1">'1RA SEGURIDAD PUBLICA'!P4</f>
        <v>0</v>
      </c>
      <c r="S323" s="9">
        <f ca="1">'1RA SEGURIDAD PUBLICA'!Q4</f>
        <v>0</v>
      </c>
      <c r="T323" s="9">
        <f ca="1">'1RA SEGURIDAD PUBLICA'!R4</f>
        <v>0</v>
      </c>
      <c r="U323" s="9">
        <f ca="1">'1RA SEGURIDAD PUBLICA'!S4</f>
        <v>0</v>
      </c>
    </row>
    <row r="324" spans="1:21" ht="39.75" customHeight="1">
      <c r="A324" s="30"/>
      <c r="B324" s="30"/>
      <c r="C324" s="5" t="s">
        <v>371</v>
      </c>
      <c r="D324" s="9">
        <f ca="1">'1RA SEGURIDAD PUBLICA'!B5</f>
        <v>1</v>
      </c>
      <c r="E324" s="9">
        <f>'1RA SEGURIDAD PUBLICA'!C5</f>
        <v>0</v>
      </c>
      <c r="F324" s="9" t="str">
        <f ca="1">'1RA SEGURIDAD PUBLICA'!D5</f>
        <v>ASCENDENTE</v>
      </c>
      <c r="G324" s="9" t="str">
        <f ca="1">'1RA SEGURIDAD PUBLICA'!E5</f>
        <v>BITACORA OPERATIVA</v>
      </c>
      <c r="H324" s="9">
        <f ca="1">'1RA SEGURIDAD PUBLICA'!F5</f>
        <v>0</v>
      </c>
      <c r="I324" s="9">
        <f ca="1">'1RA SEGURIDAD PUBLICA'!G5</f>
        <v>0</v>
      </c>
      <c r="J324" s="9">
        <f ca="1">'1RA SEGURIDAD PUBLICA'!H5</f>
        <v>0</v>
      </c>
      <c r="K324" s="9">
        <f ca="1">'1RA SEGURIDAD PUBLICA'!I5</f>
        <v>0</v>
      </c>
      <c r="L324" s="9">
        <f ca="1">'1RA SEGURIDAD PUBLICA'!J5</f>
        <v>0</v>
      </c>
      <c r="M324" s="9">
        <f ca="1">'1RA SEGURIDAD PUBLICA'!K5</f>
        <v>0</v>
      </c>
      <c r="N324" s="9">
        <f ca="1">'1RA SEGURIDAD PUBLICA'!L5</f>
        <v>0</v>
      </c>
      <c r="O324" s="9">
        <f ca="1">'1RA SEGURIDAD PUBLICA'!M5</f>
        <v>0</v>
      </c>
      <c r="P324" s="9">
        <f ca="1">'1RA SEGURIDAD PUBLICA'!N5</f>
        <v>0</v>
      </c>
      <c r="Q324" s="9">
        <f ca="1">'1RA SEGURIDAD PUBLICA'!O5</f>
        <v>0</v>
      </c>
      <c r="R324" s="9">
        <f ca="1">'1RA SEGURIDAD PUBLICA'!P5</f>
        <v>0</v>
      </c>
      <c r="S324" s="9">
        <f ca="1">'1RA SEGURIDAD PUBLICA'!Q5</f>
        <v>0</v>
      </c>
      <c r="T324" s="9">
        <f ca="1">'1RA SEGURIDAD PUBLICA'!R5</f>
        <v>0</v>
      </c>
      <c r="U324" s="9">
        <f ca="1">'1RA SEGURIDAD PUBLICA'!S5</f>
        <v>0</v>
      </c>
    </row>
    <row r="325" spans="1:21" ht="39.75" customHeight="1">
      <c r="A325" s="30"/>
      <c r="B325" s="30"/>
      <c r="C325" s="5" t="s">
        <v>372</v>
      </c>
      <c r="D325" s="9">
        <f ca="1">'1RA SEGURIDAD PUBLICA'!B6</f>
        <v>1</v>
      </c>
      <c r="E325" s="9">
        <f>'1RA SEGURIDAD PUBLICA'!C6</f>
        <v>0</v>
      </c>
      <c r="F325" s="9" t="str">
        <f ca="1">'1RA SEGURIDAD PUBLICA'!D6</f>
        <v>ASCENDENTE</v>
      </c>
      <c r="G325" s="9" t="str">
        <f ca="1">'1RA SEGURIDAD PUBLICA'!E6</f>
        <v>BITACORA OPERATIVA</v>
      </c>
      <c r="H325" s="9">
        <f ca="1">'1RA SEGURIDAD PUBLICA'!F6</f>
        <v>0</v>
      </c>
      <c r="I325" s="9">
        <f ca="1">'1RA SEGURIDAD PUBLICA'!G6</f>
        <v>0</v>
      </c>
      <c r="J325" s="9">
        <f ca="1">'1RA SEGURIDAD PUBLICA'!H6</f>
        <v>0</v>
      </c>
      <c r="K325" s="9">
        <f ca="1">'1RA SEGURIDAD PUBLICA'!I6</f>
        <v>0</v>
      </c>
      <c r="L325" s="9">
        <f ca="1">'1RA SEGURIDAD PUBLICA'!J6</f>
        <v>0</v>
      </c>
      <c r="M325" s="9">
        <f ca="1">'1RA SEGURIDAD PUBLICA'!K6</f>
        <v>0</v>
      </c>
      <c r="N325" s="9">
        <f ca="1">'1RA SEGURIDAD PUBLICA'!L6</f>
        <v>0</v>
      </c>
      <c r="O325" s="9">
        <f ca="1">'1RA SEGURIDAD PUBLICA'!M6</f>
        <v>0</v>
      </c>
      <c r="P325" s="9">
        <f ca="1">'1RA SEGURIDAD PUBLICA'!N6</f>
        <v>0</v>
      </c>
      <c r="Q325" s="9">
        <f ca="1">'1RA SEGURIDAD PUBLICA'!O6</f>
        <v>0</v>
      </c>
      <c r="R325" s="9">
        <f ca="1">'1RA SEGURIDAD PUBLICA'!P6</f>
        <v>0</v>
      </c>
      <c r="S325" s="9">
        <f ca="1">'1RA SEGURIDAD PUBLICA'!Q6</f>
        <v>0</v>
      </c>
      <c r="T325" s="9">
        <f ca="1">'1RA SEGURIDAD PUBLICA'!R6</f>
        <v>0</v>
      </c>
      <c r="U325" s="9">
        <f ca="1">'1RA SEGURIDAD PUBLICA'!S6</f>
        <v>0</v>
      </c>
    </row>
    <row r="326" spans="1:21" ht="39.75" customHeight="1">
      <c r="A326" s="30"/>
      <c r="B326" s="30"/>
      <c r="C326" s="5" t="s">
        <v>373</v>
      </c>
      <c r="D326" s="9">
        <f ca="1">'1RA SEGURIDAD PUBLICA'!B7</f>
        <v>1</v>
      </c>
      <c r="E326" s="9">
        <f>'1RA SEGURIDAD PUBLICA'!C7</f>
        <v>0</v>
      </c>
      <c r="F326" s="9" t="str">
        <f ca="1">'1RA SEGURIDAD PUBLICA'!D7</f>
        <v>ASCENDENTE</v>
      </c>
      <c r="G326" s="9" t="str">
        <f ca="1">'1RA SEGURIDAD PUBLICA'!E7</f>
        <v>BITACORA OPERATIVA</v>
      </c>
      <c r="H326" s="9">
        <f ca="1">'1RA SEGURIDAD PUBLICA'!F7</f>
        <v>0</v>
      </c>
      <c r="I326" s="9">
        <f ca="1">'1RA SEGURIDAD PUBLICA'!G7</f>
        <v>0</v>
      </c>
      <c r="J326" s="9">
        <f ca="1">'1RA SEGURIDAD PUBLICA'!H7</f>
        <v>0</v>
      </c>
      <c r="K326" s="9">
        <f ca="1">'1RA SEGURIDAD PUBLICA'!I7</f>
        <v>0</v>
      </c>
      <c r="L326" s="9">
        <f ca="1">'1RA SEGURIDAD PUBLICA'!J7</f>
        <v>0</v>
      </c>
      <c r="M326" s="9">
        <f ca="1">'1RA SEGURIDAD PUBLICA'!K7</f>
        <v>0</v>
      </c>
      <c r="N326" s="9">
        <f ca="1">'1RA SEGURIDAD PUBLICA'!L7</f>
        <v>0</v>
      </c>
      <c r="O326" s="9">
        <f ca="1">'1RA SEGURIDAD PUBLICA'!M7</f>
        <v>0</v>
      </c>
      <c r="P326" s="9">
        <f ca="1">'1RA SEGURIDAD PUBLICA'!N7</f>
        <v>0</v>
      </c>
      <c r="Q326" s="9">
        <f ca="1">'1RA SEGURIDAD PUBLICA'!O7</f>
        <v>0</v>
      </c>
      <c r="R326" s="9">
        <f ca="1">'1RA SEGURIDAD PUBLICA'!P7</f>
        <v>0</v>
      </c>
      <c r="S326" s="9">
        <f ca="1">'1RA SEGURIDAD PUBLICA'!Q7</f>
        <v>0</v>
      </c>
      <c r="T326" s="9">
        <f ca="1">'1RA SEGURIDAD PUBLICA'!R7</f>
        <v>0</v>
      </c>
      <c r="U326" s="9">
        <f ca="1">'1RA SEGURIDAD PUBLICA'!S7</f>
        <v>0</v>
      </c>
    </row>
    <row r="327" spans="1:21" ht="39.75" customHeight="1">
      <c r="A327" s="30"/>
      <c r="B327" s="30"/>
      <c r="C327" s="5" t="s">
        <v>374</v>
      </c>
      <c r="D327" s="9">
        <f ca="1">'1RA SEGURIDAD PUBLICA'!B8</f>
        <v>1</v>
      </c>
      <c r="E327" s="9">
        <f>'1RA SEGURIDAD PUBLICA'!C8</f>
        <v>0</v>
      </c>
      <c r="F327" s="9" t="str">
        <f ca="1">'1RA SEGURIDAD PUBLICA'!D8</f>
        <v>ASCENDENTE</v>
      </c>
      <c r="G327" s="9" t="str">
        <f ca="1">'1RA SEGURIDAD PUBLICA'!E8</f>
        <v>BITACORA OPERATIVA</v>
      </c>
      <c r="H327" s="9">
        <f ca="1">'1RA SEGURIDAD PUBLICA'!F8</f>
        <v>0</v>
      </c>
      <c r="I327" s="9">
        <f ca="1">'1RA SEGURIDAD PUBLICA'!G8</f>
        <v>0</v>
      </c>
      <c r="J327" s="9">
        <f ca="1">'1RA SEGURIDAD PUBLICA'!H8</f>
        <v>0</v>
      </c>
      <c r="K327" s="9">
        <f ca="1">'1RA SEGURIDAD PUBLICA'!I8</f>
        <v>0</v>
      </c>
      <c r="L327" s="9">
        <f ca="1">'1RA SEGURIDAD PUBLICA'!J8</f>
        <v>0</v>
      </c>
      <c r="M327" s="9">
        <f ca="1">'1RA SEGURIDAD PUBLICA'!K8</f>
        <v>0</v>
      </c>
      <c r="N327" s="9">
        <f ca="1">'1RA SEGURIDAD PUBLICA'!L8</f>
        <v>0</v>
      </c>
      <c r="O327" s="9">
        <f ca="1">'1RA SEGURIDAD PUBLICA'!M8</f>
        <v>0</v>
      </c>
      <c r="P327" s="9">
        <f ca="1">'1RA SEGURIDAD PUBLICA'!N8</f>
        <v>0</v>
      </c>
      <c r="Q327" s="9">
        <f ca="1">'1RA SEGURIDAD PUBLICA'!O8</f>
        <v>0</v>
      </c>
      <c r="R327" s="9">
        <f ca="1">'1RA SEGURIDAD PUBLICA'!P8</f>
        <v>0</v>
      </c>
      <c r="S327" s="9">
        <f ca="1">'1RA SEGURIDAD PUBLICA'!Q8</f>
        <v>0</v>
      </c>
      <c r="T327" s="9">
        <f ca="1">'1RA SEGURIDAD PUBLICA'!R8</f>
        <v>0</v>
      </c>
      <c r="U327" s="9">
        <f ca="1">'1RA SEGURIDAD PUBLICA'!S8</f>
        <v>0</v>
      </c>
    </row>
    <row r="328" spans="1:21" ht="39.75" customHeight="1">
      <c r="A328" s="30"/>
      <c r="B328" s="30"/>
      <c r="C328" s="5" t="s">
        <v>375</v>
      </c>
      <c r="D328" s="9">
        <f ca="1">'1RA SEGURIDAD PUBLICA'!B9</f>
        <v>1</v>
      </c>
      <c r="E328" s="9">
        <f>'1RA SEGURIDAD PUBLICA'!C9</f>
        <v>0</v>
      </c>
      <c r="F328" s="9" t="str">
        <f ca="1">'1RA SEGURIDAD PUBLICA'!D9</f>
        <v>ASCENDENTE</v>
      </c>
      <c r="G328" s="9" t="str">
        <f ca="1">'1RA SEGURIDAD PUBLICA'!E9</f>
        <v>BITACORA OPERATIVA</v>
      </c>
      <c r="H328" s="9">
        <f ca="1">'1RA SEGURIDAD PUBLICA'!F9</f>
        <v>0</v>
      </c>
      <c r="I328" s="9">
        <f ca="1">'1RA SEGURIDAD PUBLICA'!G9</f>
        <v>0</v>
      </c>
      <c r="J328" s="9">
        <f ca="1">'1RA SEGURIDAD PUBLICA'!H9</f>
        <v>0</v>
      </c>
      <c r="K328" s="9">
        <f ca="1">'1RA SEGURIDAD PUBLICA'!I9</f>
        <v>0</v>
      </c>
      <c r="L328" s="9">
        <f ca="1">'1RA SEGURIDAD PUBLICA'!J9</f>
        <v>0</v>
      </c>
      <c r="M328" s="9">
        <f ca="1">'1RA SEGURIDAD PUBLICA'!K9</f>
        <v>0</v>
      </c>
      <c r="N328" s="9">
        <f ca="1">'1RA SEGURIDAD PUBLICA'!L9</f>
        <v>0</v>
      </c>
      <c r="O328" s="9">
        <f ca="1">'1RA SEGURIDAD PUBLICA'!M9</f>
        <v>0</v>
      </c>
      <c r="P328" s="9">
        <f ca="1">'1RA SEGURIDAD PUBLICA'!N9</f>
        <v>0</v>
      </c>
      <c r="Q328" s="9">
        <f ca="1">'1RA SEGURIDAD PUBLICA'!O9</f>
        <v>0</v>
      </c>
      <c r="R328" s="9">
        <f ca="1">'1RA SEGURIDAD PUBLICA'!P9</f>
        <v>0</v>
      </c>
      <c r="S328" s="9">
        <f ca="1">'1RA SEGURIDAD PUBLICA'!Q9</f>
        <v>0</v>
      </c>
      <c r="T328" s="9">
        <f ca="1">'1RA SEGURIDAD PUBLICA'!R9</f>
        <v>0</v>
      </c>
      <c r="U328" s="9">
        <f ca="1">'1RA SEGURIDAD PUBLICA'!S9</f>
        <v>0</v>
      </c>
    </row>
    <row r="329" spans="1:21" ht="39.75" customHeight="1">
      <c r="A329" s="30"/>
      <c r="B329" s="30"/>
      <c r="C329" s="5" t="s">
        <v>376</v>
      </c>
      <c r="D329" s="9">
        <f ca="1">'1RA SEGURIDAD PUBLICA'!B10</f>
        <v>1</v>
      </c>
      <c r="E329" s="9">
        <f>'1RA SEGURIDAD PUBLICA'!C10</f>
        <v>0</v>
      </c>
      <c r="F329" s="9" t="str">
        <f ca="1">'1RA SEGURIDAD PUBLICA'!D10</f>
        <v>ASCENDENTE</v>
      </c>
      <c r="G329" s="9" t="str">
        <f ca="1">'1RA SEGURIDAD PUBLICA'!E10</f>
        <v>BITACORA OPERATIVA</v>
      </c>
      <c r="H329" s="9">
        <f ca="1">'1RA SEGURIDAD PUBLICA'!F10</f>
        <v>0</v>
      </c>
      <c r="I329" s="9">
        <f ca="1">'1RA SEGURIDAD PUBLICA'!G10</f>
        <v>0</v>
      </c>
      <c r="J329" s="9">
        <f ca="1">'1RA SEGURIDAD PUBLICA'!H10</f>
        <v>0</v>
      </c>
      <c r="K329" s="9">
        <f ca="1">'1RA SEGURIDAD PUBLICA'!I10</f>
        <v>0</v>
      </c>
      <c r="L329" s="9">
        <f ca="1">'1RA SEGURIDAD PUBLICA'!J10</f>
        <v>0</v>
      </c>
      <c r="M329" s="9">
        <f ca="1">'1RA SEGURIDAD PUBLICA'!K10</f>
        <v>0</v>
      </c>
      <c r="N329" s="9">
        <f ca="1">'1RA SEGURIDAD PUBLICA'!L10</f>
        <v>0</v>
      </c>
      <c r="O329" s="9">
        <f ca="1">'1RA SEGURIDAD PUBLICA'!M10</f>
        <v>0</v>
      </c>
      <c r="P329" s="9">
        <f ca="1">'1RA SEGURIDAD PUBLICA'!N10</f>
        <v>0</v>
      </c>
      <c r="Q329" s="9">
        <f ca="1">'1RA SEGURIDAD PUBLICA'!O10</f>
        <v>0</v>
      </c>
      <c r="R329" s="9">
        <f ca="1">'1RA SEGURIDAD PUBLICA'!P10</f>
        <v>0</v>
      </c>
      <c r="S329" s="9">
        <f ca="1">'1RA SEGURIDAD PUBLICA'!Q10</f>
        <v>0</v>
      </c>
      <c r="T329" s="9">
        <f ca="1">'1RA SEGURIDAD PUBLICA'!R10</f>
        <v>0</v>
      </c>
      <c r="U329" s="9">
        <f ca="1">'1RA SEGURIDAD PUBLICA'!S10</f>
        <v>0</v>
      </c>
    </row>
    <row r="330" spans="1:21" ht="39.75" customHeight="1">
      <c r="A330" s="30"/>
      <c r="B330" s="30"/>
      <c r="C330" s="5" t="s">
        <v>377</v>
      </c>
      <c r="D330" s="9">
        <f ca="1">'1RA SEGURIDAD PUBLICA'!B11</f>
        <v>1</v>
      </c>
      <c r="E330" s="9">
        <f>'1RA SEGURIDAD PUBLICA'!C11</f>
        <v>0</v>
      </c>
      <c r="F330" s="9" t="str">
        <f ca="1">'1RA SEGURIDAD PUBLICA'!D11</f>
        <v>ASCENDENTE</v>
      </c>
      <c r="G330" s="9" t="str">
        <f ca="1">'1RA SEGURIDAD PUBLICA'!E11</f>
        <v>BITACORA OPERATIVA</v>
      </c>
      <c r="H330" s="9">
        <f ca="1">'1RA SEGURIDAD PUBLICA'!F11</f>
        <v>0</v>
      </c>
      <c r="I330" s="9">
        <f ca="1">'1RA SEGURIDAD PUBLICA'!G11</f>
        <v>0</v>
      </c>
      <c r="J330" s="9">
        <f ca="1">'1RA SEGURIDAD PUBLICA'!H11</f>
        <v>0</v>
      </c>
      <c r="K330" s="9">
        <f ca="1">'1RA SEGURIDAD PUBLICA'!I11</f>
        <v>0</v>
      </c>
      <c r="L330" s="9">
        <f ca="1">'1RA SEGURIDAD PUBLICA'!J11</f>
        <v>0</v>
      </c>
      <c r="M330" s="9">
        <f ca="1">'1RA SEGURIDAD PUBLICA'!K11</f>
        <v>0</v>
      </c>
      <c r="N330" s="9">
        <f ca="1">'1RA SEGURIDAD PUBLICA'!L11</f>
        <v>0</v>
      </c>
      <c r="O330" s="9">
        <f ca="1">'1RA SEGURIDAD PUBLICA'!M11</f>
        <v>0</v>
      </c>
      <c r="P330" s="9">
        <f ca="1">'1RA SEGURIDAD PUBLICA'!N11</f>
        <v>0</v>
      </c>
      <c r="Q330" s="9">
        <f ca="1">'1RA SEGURIDAD PUBLICA'!O11</f>
        <v>0</v>
      </c>
      <c r="R330" s="9">
        <f ca="1">'1RA SEGURIDAD PUBLICA'!P11</f>
        <v>0</v>
      </c>
      <c r="S330" s="9">
        <f ca="1">'1RA SEGURIDAD PUBLICA'!Q11</f>
        <v>0</v>
      </c>
      <c r="T330" s="9">
        <f ca="1">'1RA SEGURIDAD PUBLICA'!R11</f>
        <v>0</v>
      </c>
      <c r="U330" s="9">
        <f ca="1">'1RA SEGURIDAD PUBLICA'!S11</f>
        <v>0</v>
      </c>
    </row>
    <row r="331" spans="1:21" ht="39.75" customHeight="1">
      <c r="A331" s="30"/>
      <c r="B331" s="30"/>
      <c r="C331" s="5" t="s">
        <v>378</v>
      </c>
      <c r="D331" s="9">
        <f ca="1">'1RA SEGURIDAD PUBLICA'!B12</f>
        <v>1</v>
      </c>
      <c r="E331" s="9">
        <f>'1RA SEGURIDAD PUBLICA'!C12</f>
        <v>0</v>
      </c>
      <c r="F331" s="9" t="str">
        <f ca="1">'1RA SEGURIDAD PUBLICA'!D12</f>
        <v>ASCENDENTE</v>
      </c>
      <c r="G331" s="9" t="str">
        <f ca="1">'1RA SEGURIDAD PUBLICA'!E12</f>
        <v>BITACORA OPERATIVA</v>
      </c>
      <c r="H331" s="9">
        <f ca="1">'1RA SEGURIDAD PUBLICA'!F12</f>
        <v>0</v>
      </c>
      <c r="I331" s="9">
        <f ca="1">'1RA SEGURIDAD PUBLICA'!G12</f>
        <v>0</v>
      </c>
      <c r="J331" s="9">
        <f ca="1">'1RA SEGURIDAD PUBLICA'!H12</f>
        <v>0</v>
      </c>
      <c r="K331" s="9">
        <f ca="1">'1RA SEGURIDAD PUBLICA'!I12</f>
        <v>0</v>
      </c>
      <c r="L331" s="9">
        <f ca="1">'1RA SEGURIDAD PUBLICA'!J12</f>
        <v>0</v>
      </c>
      <c r="M331" s="9">
        <f ca="1">'1RA SEGURIDAD PUBLICA'!K12</f>
        <v>0</v>
      </c>
      <c r="N331" s="9">
        <f ca="1">'1RA SEGURIDAD PUBLICA'!L12</f>
        <v>0</v>
      </c>
      <c r="O331" s="9">
        <f ca="1">'1RA SEGURIDAD PUBLICA'!M12</f>
        <v>0</v>
      </c>
      <c r="P331" s="9">
        <f ca="1">'1RA SEGURIDAD PUBLICA'!N12</f>
        <v>0</v>
      </c>
      <c r="Q331" s="9">
        <f ca="1">'1RA SEGURIDAD PUBLICA'!O12</f>
        <v>0</v>
      </c>
      <c r="R331" s="9">
        <f ca="1">'1RA SEGURIDAD PUBLICA'!P12</f>
        <v>0</v>
      </c>
      <c r="S331" s="9">
        <f ca="1">'1RA SEGURIDAD PUBLICA'!Q12</f>
        <v>0</v>
      </c>
      <c r="T331" s="9">
        <f ca="1">'1RA SEGURIDAD PUBLICA'!R12</f>
        <v>0</v>
      </c>
      <c r="U331" s="9">
        <f ca="1">'1RA SEGURIDAD PUBLICA'!S12</f>
        <v>0</v>
      </c>
    </row>
    <row r="332" spans="1:21" ht="39.75" customHeight="1">
      <c r="A332" s="30"/>
      <c r="B332" s="30"/>
      <c r="C332" s="5" t="s">
        <v>379</v>
      </c>
      <c r="D332" s="9">
        <f ca="1">'1RA SEGURIDAD PUBLICA'!B13</f>
        <v>1</v>
      </c>
      <c r="E332" s="9">
        <f>'1RA SEGURIDAD PUBLICA'!C13</f>
        <v>0</v>
      </c>
      <c r="F332" s="9" t="str">
        <f ca="1">'1RA SEGURIDAD PUBLICA'!D13</f>
        <v>ASCENDENTE</v>
      </c>
      <c r="G332" s="9" t="str">
        <f ca="1">'1RA SEGURIDAD PUBLICA'!E13</f>
        <v>BITACORA OPERATIVA</v>
      </c>
      <c r="H332" s="9">
        <f ca="1">'1RA SEGURIDAD PUBLICA'!F13</f>
        <v>0</v>
      </c>
      <c r="I332" s="9">
        <f ca="1">'1RA SEGURIDAD PUBLICA'!G13</f>
        <v>0</v>
      </c>
      <c r="J332" s="9">
        <f ca="1">'1RA SEGURIDAD PUBLICA'!H13</f>
        <v>0</v>
      </c>
      <c r="K332" s="9">
        <f ca="1">'1RA SEGURIDAD PUBLICA'!I13</f>
        <v>0</v>
      </c>
      <c r="L332" s="9">
        <f ca="1">'1RA SEGURIDAD PUBLICA'!J13</f>
        <v>0</v>
      </c>
      <c r="M332" s="9">
        <f ca="1">'1RA SEGURIDAD PUBLICA'!K13</f>
        <v>0</v>
      </c>
      <c r="N332" s="9">
        <f ca="1">'1RA SEGURIDAD PUBLICA'!L13</f>
        <v>0</v>
      </c>
      <c r="O332" s="9">
        <f ca="1">'1RA SEGURIDAD PUBLICA'!M13</f>
        <v>0</v>
      </c>
      <c r="P332" s="9">
        <f ca="1">'1RA SEGURIDAD PUBLICA'!N13</f>
        <v>0</v>
      </c>
      <c r="Q332" s="9">
        <f ca="1">'1RA SEGURIDAD PUBLICA'!O13</f>
        <v>0</v>
      </c>
      <c r="R332" s="9">
        <f ca="1">'1RA SEGURIDAD PUBLICA'!P13</f>
        <v>0</v>
      </c>
      <c r="S332" s="9">
        <f ca="1">'1RA SEGURIDAD PUBLICA'!Q13</f>
        <v>0</v>
      </c>
      <c r="T332" s="9">
        <f ca="1">'1RA SEGURIDAD PUBLICA'!R13</f>
        <v>0</v>
      </c>
      <c r="U332" s="9">
        <f ca="1">'1RA SEGURIDAD PUBLICA'!S13</f>
        <v>0</v>
      </c>
    </row>
    <row r="333" spans="1:21" ht="39.75" customHeight="1">
      <c r="A333" s="30"/>
      <c r="B333" s="30"/>
      <c r="C333" s="5" t="s">
        <v>380</v>
      </c>
      <c r="D333" s="9">
        <f ca="1">'1RA SEGURIDAD PUBLICA'!B14</f>
        <v>1</v>
      </c>
      <c r="E333" s="9">
        <f>'1RA SEGURIDAD PUBLICA'!C14</f>
        <v>0</v>
      </c>
      <c r="F333" s="9" t="str">
        <f ca="1">'1RA SEGURIDAD PUBLICA'!D14</f>
        <v>ASCENDENTE</v>
      </c>
      <c r="G333" s="9" t="str">
        <f ca="1">'1RA SEGURIDAD PUBLICA'!E14</f>
        <v>BITACORA OPERATIVA</v>
      </c>
      <c r="H333" s="9">
        <f ca="1">'1RA SEGURIDAD PUBLICA'!F14</f>
        <v>0</v>
      </c>
      <c r="I333" s="9">
        <f ca="1">'1RA SEGURIDAD PUBLICA'!G14</f>
        <v>0</v>
      </c>
      <c r="J333" s="9">
        <f ca="1">'1RA SEGURIDAD PUBLICA'!H14</f>
        <v>0</v>
      </c>
      <c r="K333" s="9">
        <f ca="1">'1RA SEGURIDAD PUBLICA'!I14</f>
        <v>0</v>
      </c>
      <c r="L333" s="9">
        <f ca="1">'1RA SEGURIDAD PUBLICA'!J14</f>
        <v>0</v>
      </c>
      <c r="M333" s="9">
        <f ca="1">'1RA SEGURIDAD PUBLICA'!K14</f>
        <v>0</v>
      </c>
      <c r="N333" s="9">
        <f ca="1">'1RA SEGURIDAD PUBLICA'!L14</f>
        <v>0</v>
      </c>
      <c r="O333" s="9">
        <f ca="1">'1RA SEGURIDAD PUBLICA'!M14</f>
        <v>0</v>
      </c>
      <c r="P333" s="9">
        <f ca="1">'1RA SEGURIDAD PUBLICA'!N14</f>
        <v>0</v>
      </c>
      <c r="Q333" s="9">
        <f ca="1">'1RA SEGURIDAD PUBLICA'!O14</f>
        <v>0</v>
      </c>
      <c r="R333" s="9">
        <f ca="1">'1RA SEGURIDAD PUBLICA'!P14</f>
        <v>0</v>
      </c>
      <c r="S333" s="9">
        <f ca="1">'1RA SEGURIDAD PUBLICA'!Q14</f>
        <v>0</v>
      </c>
      <c r="T333" s="9">
        <f ca="1">'1RA SEGURIDAD PUBLICA'!R14</f>
        <v>0</v>
      </c>
      <c r="U333" s="9">
        <f ca="1">'1RA SEGURIDAD PUBLICA'!S14</f>
        <v>0</v>
      </c>
    </row>
    <row r="334" spans="1:21" ht="39.75" customHeight="1">
      <c r="A334" s="30"/>
      <c r="B334" s="30"/>
      <c r="C334" s="5" t="s">
        <v>381</v>
      </c>
      <c r="D334" s="9">
        <f ca="1">'1RA SEGURIDAD PUBLICA'!B15</f>
        <v>1</v>
      </c>
      <c r="E334" s="9">
        <f>'1RA SEGURIDAD PUBLICA'!C15</f>
        <v>0</v>
      </c>
      <c r="F334" s="9" t="str">
        <f ca="1">'1RA SEGURIDAD PUBLICA'!D15</f>
        <v>ASCENDENTE</v>
      </c>
      <c r="G334" s="9" t="str">
        <f ca="1">'1RA SEGURIDAD PUBLICA'!E15</f>
        <v>BITACORA OPERATIVA</v>
      </c>
      <c r="H334" s="9">
        <f ca="1">'1RA SEGURIDAD PUBLICA'!F15</f>
        <v>0</v>
      </c>
      <c r="I334" s="9">
        <f ca="1">'1RA SEGURIDAD PUBLICA'!G15</f>
        <v>0</v>
      </c>
      <c r="J334" s="9">
        <f ca="1">'1RA SEGURIDAD PUBLICA'!H15</f>
        <v>0</v>
      </c>
      <c r="K334" s="9">
        <f ca="1">'1RA SEGURIDAD PUBLICA'!I15</f>
        <v>0</v>
      </c>
      <c r="L334" s="9">
        <f ca="1">'1RA SEGURIDAD PUBLICA'!J15</f>
        <v>0</v>
      </c>
      <c r="M334" s="9">
        <f ca="1">'1RA SEGURIDAD PUBLICA'!K15</f>
        <v>0</v>
      </c>
      <c r="N334" s="9">
        <f ca="1">'1RA SEGURIDAD PUBLICA'!L15</f>
        <v>0</v>
      </c>
      <c r="O334" s="9">
        <f ca="1">'1RA SEGURIDAD PUBLICA'!M15</f>
        <v>0</v>
      </c>
      <c r="P334" s="9">
        <f ca="1">'1RA SEGURIDAD PUBLICA'!N15</f>
        <v>0</v>
      </c>
      <c r="Q334" s="9">
        <f ca="1">'1RA SEGURIDAD PUBLICA'!O15</f>
        <v>0</v>
      </c>
      <c r="R334" s="9">
        <f ca="1">'1RA SEGURIDAD PUBLICA'!P15</f>
        <v>0</v>
      </c>
      <c r="S334" s="9">
        <f ca="1">'1RA SEGURIDAD PUBLICA'!Q15</f>
        <v>0</v>
      </c>
      <c r="T334" s="9">
        <f ca="1">'1RA SEGURIDAD PUBLICA'!R15</f>
        <v>0</v>
      </c>
      <c r="U334" s="9">
        <f ca="1">'1RA SEGURIDAD PUBLICA'!S15</f>
        <v>0</v>
      </c>
    </row>
    <row r="335" spans="1:21" ht="39.75" customHeight="1">
      <c r="A335" s="30"/>
      <c r="B335" s="30"/>
      <c r="C335" s="5" t="s">
        <v>382</v>
      </c>
      <c r="D335" s="9">
        <f ca="1">'1RA SEGURIDAD PUBLICA'!B16</f>
        <v>1</v>
      </c>
      <c r="E335" s="9">
        <f>'1RA SEGURIDAD PUBLICA'!C16</f>
        <v>0</v>
      </c>
      <c r="F335" s="9" t="str">
        <f ca="1">'1RA SEGURIDAD PUBLICA'!D16</f>
        <v>ASCENDENTE</v>
      </c>
      <c r="G335" s="9" t="str">
        <f ca="1">'1RA SEGURIDAD PUBLICA'!E16</f>
        <v>BITACORA OPERATIVA</v>
      </c>
      <c r="H335" s="9">
        <f ca="1">'1RA SEGURIDAD PUBLICA'!F16</f>
        <v>0</v>
      </c>
      <c r="I335" s="9">
        <f ca="1">'1RA SEGURIDAD PUBLICA'!G16</f>
        <v>0</v>
      </c>
      <c r="J335" s="9">
        <f ca="1">'1RA SEGURIDAD PUBLICA'!H16</f>
        <v>0</v>
      </c>
      <c r="K335" s="9">
        <f ca="1">'1RA SEGURIDAD PUBLICA'!I16</f>
        <v>0</v>
      </c>
      <c r="L335" s="9">
        <f ca="1">'1RA SEGURIDAD PUBLICA'!J16</f>
        <v>0</v>
      </c>
      <c r="M335" s="9">
        <f ca="1">'1RA SEGURIDAD PUBLICA'!K16</f>
        <v>0</v>
      </c>
      <c r="N335" s="9">
        <f ca="1">'1RA SEGURIDAD PUBLICA'!L16</f>
        <v>0</v>
      </c>
      <c r="O335" s="9">
        <f ca="1">'1RA SEGURIDAD PUBLICA'!M16</f>
        <v>0</v>
      </c>
      <c r="P335" s="9">
        <f ca="1">'1RA SEGURIDAD PUBLICA'!N16</f>
        <v>0</v>
      </c>
      <c r="Q335" s="9">
        <f ca="1">'1RA SEGURIDAD PUBLICA'!O16</f>
        <v>0</v>
      </c>
      <c r="R335" s="9">
        <f ca="1">'1RA SEGURIDAD PUBLICA'!P16</f>
        <v>0</v>
      </c>
      <c r="S335" s="9">
        <f ca="1">'1RA SEGURIDAD PUBLICA'!Q16</f>
        <v>0</v>
      </c>
      <c r="T335" s="9">
        <f ca="1">'1RA SEGURIDAD PUBLICA'!R16</f>
        <v>0</v>
      </c>
      <c r="U335" s="9">
        <f ca="1">'1RA SEGURIDAD PUBLICA'!S16</f>
        <v>0</v>
      </c>
    </row>
    <row r="336" spans="1:21" ht="39.75" customHeight="1">
      <c r="A336" s="30"/>
      <c r="B336" s="30"/>
      <c r="C336" s="5" t="s">
        <v>383</v>
      </c>
      <c r="D336" s="9">
        <f ca="1">'1RA SEGURIDAD PUBLICA'!B17</f>
        <v>1</v>
      </c>
      <c r="E336" s="9">
        <f>'1RA SEGURIDAD PUBLICA'!C17</f>
        <v>0</v>
      </c>
      <c r="F336" s="9" t="str">
        <f ca="1">'1RA SEGURIDAD PUBLICA'!D17</f>
        <v>ASCENDENTE</v>
      </c>
      <c r="G336" s="9" t="str">
        <f ca="1">'1RA SEGURIDAD PUBLICA'!E17</f>
        <v>BITACORA OPERATIVA</v>
      </c>
      <c r="H336" s="9">
        <f ca="1">'1RA SEGURIDAD PUBLICA'!F17</f>
        <v>0</v>
      </c>
      <c r="I336" s="9">
        <f ca="1">'1RA SEGURIDAD PUBLICA'!G17</f>
        <v>0</v>
      </c>
      <c r="J336" s="9">
        <f ca="1">'1RA SEGURIDAD PUBLICA'!H17</f>
        <v>0</v>
      </c>
      <c r="K336" s="9">
        <f ca="1">'1RA SEGURIDAD PUBLICA'!I17</f>
        <v>0</v>
      </c>
      <c r="L336" s="9">
        <f ca="1">'1RA SEGURIDAD PUBLICA'!J17</f>
        <v>0</v>
      </c>
      <c r="M336" s="9">
        <f ca="1">'1RA SEGURIDAD PUBLICA'!K17</f>
        <v>0</v>
      </c>
      <c r="N336" s="9">
        <f ca="1">'1RA SEGURIDAD PUBLICA'!L17</f>
        <v>0</v>
      </c>
      <c r="O336" s="9">
        <f ca="1">'1RA SEGURIDAD PUBLICA'!M17</f>
        <v>0</v>
      </c>
      <c r="P336" s="9">
        <f ca="1">'1RA SEGURIDAD PUBLICA'!N17</f>
        <v>0</v>
      </c>
      <c r="Q336" s="9">
        <f ca="1">'1RA SEGURIDAD PUBLICA'!O17</f>
        <v>0</v>
      </c>
      <c r="R336" s="9">
        <f ca="1">'1RA SEGURIDAD PUBLICA'!P17</f>
        <v>0</v>
      </c>
      <c r="S336" s="9">
        <f ca="1">'1RA SEGURIDAD PUBLICA'!Q17</f>
        <v>0</v>
      </c>
      <c r="T336" s="9">
        <f ca="1">'1RA SEGURIDAD PUBLICA'!R17</f>
        <v>0</v>
      </c>
      <c r="U336" s="9">
        <f ca="1">'1RA SEGURIDAD PUBLICA'!S17</f>
        <v>0</v>
      </c>
    </row>
    <row r="337" spans="1:21" ht="39.75" customHeight="1">
      <c r="A337" s="30"/>
      <c r="B337" s="30"/>
      <c r="C337" s="5" t="s">
        <v>384</v>
      </c>
      <c r="D337" s="9">
        <f ca="1">'1RA SEGURIDAD PUBLICA'!B18</f>
        <v>1</v>
      </c>
      <c r="E337" s="9">
        <f>'1RA SEGURIDAD PUBLICA'!C18</f>
        <v>0</v>
      </c>
      <c r="F337" s="9" t="str">
        <f ca="1">'1RA SEGURIDAD PUBLICA'!D18</f>
        <v>ASCENDENTE</v>
      </c>
      <c r="G337" s="9" t="str">
        <f ca="1">'1RA SEGURIDAD PUBLICA'!E18</f>
        <v>BITACORA OPERATIVA</v>
      </c>
      <c r="H337" s="9">
        <f ca="1">'1RA SEGURIDAD PUBLICA'!F18</f>
        <v>0</v>
      </c>
      <c r="I337" s="9">
        <f ca="1">'1RA SEGURIDAD PUBLICA'!G18</f>
        <v>0</v>
      </c>
      <c r="J337" s="9">
        <f ca="1">'1RA SEGURIDAD PUBLICA'!H18</f>
        <v>0</v>
      </c>
      <c r="K337" s="9">
        <f ca="1">'1RA SEGURIDAD PUBLICA'!I18</f>
        <v>0</v>
      </c>
      <c r="L337" s="9">
        <f ca="1">'1RA SEGURIDAD PUBLICA'!J18</f>
        <v>0</v>
      </c>
      <c r="M337" s="9">
        <f ca="1">'1RA SEGURIDAD PUBLICA'!K18</f>
        <v>0</v>
      </c>
      <c r="N337" s="9">
        <f ca="1">'1RA SEGURIDAD PUBLICA'!L18</f>
        <v>0</v>
      </c>
      <c r="O337" s="9">
        <f ca="1">'1RA SEGURIDAD PUBLICA'!M18</f>
        <v>0</v>
      </c>
      <c r="P337" s="9">
        <f ca="1">'1RA SEGURIDAD PUBLICA'!N18</f>
        <v>0</v>
      </c>
      <c r="Q337" s="9">
        <f ca="1">'1RA SEGURIDAD PUBLICA'!O18</f>
        <v>0</v>
      </c>
      <c r="R337" s="9">
        <f ca="1">'1RA SEGURIDAD PUBLICA'!P18</f>
        <v>0</v>
      </c>
      <c r="S337" s="9">
        <f ca="1">'1RA SEGURIDAD PUBLICA'!Q18</f>
        <v>0</v>
      </c>
      <c r="T337" s="9">
        <f ca="1">'1RA SEGURIDAD PUBLICA'!R18</f>
        <v>0</v>
      </c>
      <c r="U337" s="9">
        <f ca="1">'1RA SEGURIDAD PUBLICA'!S18</f>
        <v>0</v>
      </c>
    </row>
    <row r="338" spans="1:21" ht="39.75" customHeight="1">
      <c r="A338" s="30"/>
      <c r="B338" s="30"/>
      <c r="C338" s="5" t="s">
        <v>385</v>
      </c>
      <c r="D338" s="9">
        <f ca="1">'1RA SEGURIDAD PUBLICA'!B19</f>
        <v>1</v>
      </c>
      <c r="E338" s="9">
        <f>'1RA SEGURIDAD PUBLICA'!C19</f>
        <v>0</v>
      </c>
      <c r="F338" s="9" t="str">
        <f ca="1">'1RA SEGURIDAD PUBLICA'!D19</f>
        <v>ASCENDENTE</v>
      </c>
      <c r="G338" s="9" t="str">
        <f ca="1">'1RA SEGURIDAD PUBLICA'!E19</f>
        <v>BITACORA OPERATIVA</v>
      </c>
      <c r="H338" s="9">
        <f ca="1">'1RA SEGURIDAD PUBLICA'!F19</f>
        <v>0</v>
      </c>
      <c r="I338" s="9">
        <f ca="1">'1RA SEGURIDAD PUBLICA'!G19</f>
        <v>0</v>
      </c>
      <c r="J338" s="9">
        <f ca="1">'1RA SEGURIDAD PUBLICA'!H19</f>
        <v>0</v>
      </c>
      <c r="K338" s="9">
        <f ca="1">'1RA SEGURIDAD PUBLICA'!I19</f>
        <v>0</v>
      </c>
      <c r="L338" s="9">
        <f ca="1">'1RA SEGURIDAD PUBLICA'!J19</f>
        <v>0</v>
      </c>
      <c r="M338" s="9">
        <f ca="1">'1RA SEGURIDAD PUBLICA'!K19</f>
        <v>0</v>
      </c>
      <c r="N338" s="9">
        <f ca="1">'1RA SEGURIDAD PUBLICA'!L19</f>
        <v>0</v>
      </c>
      <c r="O338" s="9">
        <f ca="1">'1RA SEGURIDAD PUBLICA'!M19</f>
        <v>0</v>
      </c>
      <c r="P338" s="9">
        <f ca="1">'1RA SEGURIDAD PUBLICA'!N19</f>
        <v>0</v>
      </c>
      <c r="Q338" s="9">
        <f ca="1">'1RA SEGURIDAD PUBLICA'!O19</f>
        <v>0</v>
      </c>
      <c r="R338" s="9">
        <f ca="1">'1RA SEGURIDAD PUBLICA'!P19</f>
        <v>0</v>
      </c>
      <c r="S338" s="9">
        <f ca="1">'1RA SEGURIDAD PUBLICA'!Q19</f>
        <v>0</v>
      </c>
      <c r="T338" s="9">
        <f ca="1">'1RA SEGURIDAD PUBLICA'!R19</f>
        <v>0</v>
      </c>
      <c r="U338" s="9">
        <f ca="1">'1RA SEGURIDAD PUBLICA'!S19</f>
        <v>0</v>
      </c>
    </row>
    <row r="339" spans="1:21" ht="39.75" customHeight="1">
      <c r="A339" s="30"/>
      <c r="B339" s="30"/>
      <c r="C339" s="5" t="s">
        <v>386</v>
      </c>
      <c r="D339" s="9">
        <f ca="1">'1RA SEGURIDAD PUBLICA'!B20</f>
        <v>1</v>
      </c>
      <c r="E339" s="9">
        <f>'1RA SEGURIDAD PUBLICA'!C20</f>
        <v>0</v>
      </c>
      <c r="F339" s="9" t="str">
        <f ca="1">'1RA SEGURIDAD PUBLICA'!D20</f>
        <v>ASCENDENTE</v>
      </c>
      <c r="G339" s="9" t="str">
        <f ca="1">'1RA SEGURIDAD PUBLICA'!E20</f>
        <v>BITACORA OPERATIVA</v>
      </c>
      <c r="H339" s="9">
        <f ca="1">'1RA SEGURIDAD PUBLICA'!F20</f>
        <v>0</v>
      </c>
      <c r="I339" s="9">
        <f ca="1">'1RA SEGURIDAD PUBLICA'!G20</f>
        <v>0</v>
      </c>
      <c r="J339" s="9">
        <f ca="1">'1RA SEGURIDAD PUBLICA'!H20</f>
        <v>0</v>
      </c>
      <c r="K339" s="9">
        <f ca="1">'1RA SEGURIDAD PUBLICA'!I20</f>
        <v>0</v>
      </c>
      <c r="L339" s="9">
        <f ca="1">'1RA SEGURIDAD PUBLICA'!J20</f>
        <v>0</v>
      </c>
      <c r="M339" s="9">
        <f ca="1">'1RA SEGURIDAD PUBLICA'!K20</f>
        <v>0</v>
      </c>
      <c r="N339" s="9">
        <f ca="1">'1RA SEGURIDAD PUBLICA'!L20</f>
        <v>0</v>
      </c>
      <c r="O339" s="9">
        <f ca="1">'1RA SEGURIDAD PUBLICA'!M20</f>
        <v>0</v>
      </c>
      <c r="P339" s="9">
        <f ca="1">'1RA SEGURIDAD PUBLICA'!N20</f>
        <v>0</v>
      </c>
      <c r="Q339" s="9">
        <f ca="1">'1RA SEGURIDAD PUBLICA'!O20</f>
        <v>0</v>
      </c>
      <c r="R339" s="9">
        <f ca="1">'1RA SEGURIDAD PUBLICA'!P20</f>
        <v>0</v>
      </c>
      <c r="S339" s="9">
        <f ca="1">'1RA SEGURIDAD PUBLICA'!Q20</f>
        <v>0</v>
      </c>
      <c r="T339" s="9">
        <f ca="1">'1RA SEGURIDAD PUBLICA'!R20</f>
        <v>0</v>
      </c>
      <c r="U339" s="9">
        <f ca="1">'1RA SEGURIDAD PUBLICA'!S20</f>
        <v>0</v>
      </c>
    </row>
    <row r="340" spans="1:21" ht="39.75" customHeight="1">
      <c r="A340" s="30"/>
      <c r="B340" s="30"/>
      <c r="C340" s="5" t="s">
        <v>387</v>
      </c>
      <c r="D340" s="9">
        <f ca="1">'1RA SEGURIDAD PUBLICA'!B21</f>
        <v>1</v>
      </c>
      <c r="E340" s="9">
        <f>'1RA SEGURIDAD PUBLICA'!C21</f>
        <v>0</v>
      </c>
      <c r="F340" s="9" t="str">
        <f ca="1">'1RA SEGURIDAD PUBLICA'!D21</f>
        <v>ASCENDENTE</v>
      </c>
      <c r="G340" s="9" t="str">
        <f ca="1">'1RA SEGURIDAD PUBLICA'!E21</f>
        <v>BITACORA OPERATIVA</v>
      </c>
      <c r="H340" s="9">
        <f ca="1">'1RA SEGURIDAD PUBLICA'!F21</f>
        <v>0</v>
      </c>
      <c r="I340" s="9">
        <f ca="1">'1RA SEGURIDAD PUBLICA'!G21</f>
        <v>0</v>
      </c>
      <c r="J340" s="9">
        <f ca="1">'1RA SEGURIDAD PUBLICA'!H21</f>
        <v>0</v>
      </c>
      <c r="K340" s="9">
        <f ca="1">'1RA SEGURIDAD PUBLICA'!I21</f>
        <v>0</v>
      </c>
      <c r="L340" s="9">
        <f ca="1">'1RA SEGURIDAD PUBLICA'!J21</f>
        <v>0</v>
      </c>
      <c r="M340" s="9">
        <f ca="1">'1RA SEGURIDAD PUBLICA'!K21</f>
        <v>0</v>
      </c>
      <c r="N340" s="9">
        <f ca="1">'1RA SEGURIDAD PUBLICA'!L21</f>
        <v>0</v>
      </c>
      <c r="O340" s="9">
        <f ca="1">'1RA SEGURIDAD PUBLICA'!M21</f>
        <v>0</v>
      </c>
      <c r="P340" s="9">
        <f ca="1">'1RA SEGURIDAD PUBLICA'!N21</f>
        <v>0</v>
      </c>
      <c r="Q340" s="9">
        <f ca="1">'1RA SEGURIDAD PUBLICA'!O21</f>
        <v>0</v>
      </c>
      <c r="R340" s="9">
        <f ca="1">'1RA SEGURIDAD PUBLICA'!P21</f>
        <v>0</v>
      </c>
      <c r="S340" s="9">
        <f ca="1">'1RA SEGURIDAD PUBLICA'!Q21</f>
        <v>0</v>
      </c>
      <c r="T340" s="9">
        <f ca="1">'1RA SEGURIDAD PUBLICA'!R21</f>
        <v>0</v>
      </c>
      <c r="U340" s="9">
        <f ca="1">'1RA SEGURIDAD PUBLICA'!S21</f>
        <v>0</v>
      </c>
    </row>
    <row r="341" spans="1:21" ht="39.75" customHeight="1">
      <c r="A341" s="30"/>
      <c r="B341" s="30"/>
      <c r="C341" s="5" t="s">
        <v>388</v>
      </c>
      <c r="D341" s="9">
        <f ca="1">'1RA SEGURIDAD PUBLICA'!B22</f>
        <v>1</v>
      </c>
      <c r="E341" s="9">
        <f>'1RA SEGURIDAD PUBLICA'!C22</f>
        <v>0</v>
      </c>
      <c r="F341" s="9" t="str">
        <f ca="1">'1RA SEGURIDAD PUBLICA'!D22</f>
        <v>ASCENDENTE</v>
      </c>
      <c r="G341" s="9" t="str">
        <f ca="1">'1RA SEGURIDAD PUBLICA'!E22</f>
        <v>BITACORA OPERATIVA</v>
      </c>
      <c r="H341" s="9">
        <f ca="1">'1RA SEGURIDAD PUBLICA'!F22</f>
        <v>0</v>
      </c>
      <c r="I341" s="9">
        <f ca="1">'1RA SEGURIDAD PUBLICA'!G22</f>
        <v>0</v>
      </c>
      <c r="J341" s="9">
        <f ca="1">'1RA SEGURIDAD PUBLICA'!H22</f>
        <v>0</v>
      </c>
      <c r="K341" s="9">
        <f ca="1">'1RA SEGURIDAD PUBLICA'!I22</f>
        <v>0</v>
      </c>
      <c r="L341" s="9">
        <f ca="1">'1RA SEGURIDAD PUBLICA'!J22</f>
        <v>0</v>
      </c>
      <c r="M341" s="9">
        <f ca="1">'1RA SEGURIDAD PUBLICA'!K22</f>
        <v>0</v>
      </c>
      <c r="N341" s="9">
        <f ca="1">'1RA SEGURIDAD PUBLICA'!L22</f>
        <v>0</v>
      </c>
      <c r="O341" s="9">
        <f ca="1">'1RA SEGURIDAD PUBLICA'!M22</f>
        <v>0</v>
      </c>
      <c r="P341" s="9">
        <f ca="1">'1RA SEGURIDAD PUBLICA'!N22</f>
        <v>0</v>
      </c>
      <c r="Q341" s="9">
        <f ca="1">'1RA SEGURIDAD PUBLICA'!O22</f>
        <v>0</v>
      </c>
      <c r="R341" s="9">
        <f ca="1">'1RA SEGURIDAD PUBLICA'!P22</f>
        <v>0</v>
      </c>
      <c r="S341" s="9">
        <f ca="1">'1RA SEGURIDAD PUBLICA'!Q22</f>
        <v>0</v>
      </c>
      <c r="T341" s="9">
        <f ca="1">'1RA SEGURIDAD PUBLICA'!R22</f>
        <v>0</v>
      </c>
      <c r="U341" s="9">
        <f ca="1">'1RA SEGURIDAD PUBLICA'!S22</f>
        <v>0</v>
      </c>
    </row>
    <row r="342" spans="1:21" ht="39.75" customHeight="1">
      <c r="A342" s="30"/>
      <c r="B342" s="30"/>
      <c r="C342" s="5" t="s">
        <v>389</v>
      </c>
      <c r="D342" s="9">
        <f ca="1">'1RA SEGURIDAD PUBLICA'!B23</f>
        <v>1</v>
      </c>
      <c r="E342" s="9">
        <f>'1RA SEGURIDAD PUBLICA'!C23</f>
        <v>0</v>
      </c>
      <c r="F342" s="9" t="str">
        <f ca="1">'1RA SEGURIDAD PUBLICA'!D23</f>
        <v>ASCENDENTE</v>
      </c>
      <c r="G342" s="9" t="str">
        <f ca="1">'1RA SEGURIDAD PUBLICA'!E23</f>
        <v>BITACORA OPERATIVA</v>
      </c>
      <c r="H342" s="9">
        <f ca="1">'1RA SEGURIDAD PUBLICA'!F23</f>
        <v>0</v>
      </c>
      <c r="I342" s="9">
        <f ca="1">'1RA SEGURIDAD PUBLICA'!G23</f>
        <v>0</v>
      </c>
      <c r="J342" s="9">
        <f ca="1">'1RA SEGURIDAD PUBLICA'!H23</f>
        <v>0</v>
      </c>
      <c r="K342" s="9">
        <f ca="1">'1RA SEGURIDAD PUBLICA'!I23</f>
        <v>0</v>
      </c>
      <c r="L342" s="9">
        <f ca="1">'1RA SEGURIDAD PUBLICA'!J23</f>
        <v>0</v>
      </c>
      <c r="M342" s="9">
        <f ca="1">'1RA SEGURIDAD PUBLICA'!K23</f>
        <v>0</v>
      </c>
      <c r="N342" s="9">
        <f ca="1">'1RA SEGURIDAD PUBLICA'!L23</f>
        <v>0</v>
      </c>
      <c r="O342" s="9">
        <f ca="1">'1RA SEGURIDAD PUBLICA'!M23</f>
        <v>0</v>
      </c>
      <c r="P342" s="9">
        <f ca="1">'1RA SEGURIDAD PUBLICA'!N23</f>
        <v>0</v>
      </c>
      <c r="Q342" s="9">
        <f ca="1">'1RA SEGURIDAD PUBLICA'!O23</f>
        <v>0</v>
      </c>
      <c r="R342" s="9">
        <f ca="1">'1RA SEGURIDAD PUBLICA'!P23</f>
        <v>0</v>
      </c>
      <c r="S342" s="9">
        <f ca="1">'1RA SEGURIDAD PUBLICA'!Q23</f>
        <v>0</v>
      </c>
      <c r="T342" s="9">
        <f ca="1">'1RA SEGURIDAD PUBLICA'!R23</f>
        <v>0</v>
      </c>
      <c r="U342" s="9">
        <f ca="1">'1RA SEGURIDAD PUBLICA'!S23</f>
        <v>0</v>
      </c>
    </row>
    <row r="343" spans="1:21" ht="39.75" customHeight="1">
      <c r="A343" s="30"/>
      <c r="B343" s="30"/>
      <c r="C343" s="5" t="s">
        <v>390</v>
      </c>
      <c r="D343" s="9">
        <f ca="1">'1RA SEGURIDAD PUBLICA'!B24</f>
        <v>1</v>
      </c>
      <c r="E343" s="9">
        <f>'1RA SEGURIDAD PUBLICA'!C24</f>
        <v>0</v>
      </c>
      <c r="F343" s="9" t="str">
        <f ca="1">'1RA SEGURIDAD PUBLICA'!D24</f>
        <v>ASCENDENTE</v>
      </c>
      <c r="G343" s="9" t="str">
        <f ca="1">'1RA SEGURIDAD PUBLICA'!E24</f>
        <v>BITACORA OPERATIVA</v>
      </c>
      <c r="H343" s="9">
        <f ca="1">'1RA SEGURIDAD PUBLICA'!F24</f>
        <v>0</v>
      </c>
      <c r="I343" s="9">
        <f ca="1">'1RA SEGURIDAD PUBLICA'!G24</f>
        <v>0</v>
      </c>
      <c r="J343" s="9">
        <f ca="1">'1RA SEGURIDAD PUBLICA'!H24</f>
        <v>0</v>
      </c>
      <c r="K343" s="9">
        <f ca="1">'1RA SEGURIDAD PUBLICA'!I24</f>
        <v>0</v>
      </c>
      <c r="L343" s="9">
        <f ca="1">'1RA SEGURIDAD PUBLICA'!J24</f>
        <v>0</v>
      </c>
      <c r="M343" s="9">
        <f ca="1">'1RA SEGURIDAD PUBLICA'!K24</f>
        <v>0</v>
      </c>
      <c r="N343" s="9">
        <f ca="1">'1RA SEGURIDAD PUBLICA'!L24</f>
        <v>0</v>
      </c>
      <c r="O343" s="9">
        <f ca="1">'1RA SEGURIDAD PUBLICA'!M24</f>
        <v>0</v>
      </c>
      <c r="P343" s="9">
        <f ca="1">'1RA SEGURIDAD PUBLICA'!N24</f>
        <v>0</v>
      </c>
      <c r="Q343" s="9">
        <f ca="1">'1RA SEGURIDAD PUBLICA'!O24</f>
        <v>0</v>
      </c>
      <c r="R343" s="9">
        <f ca="1">'1RA SEGURIDAD PUBLICA'!P24</f>
        <v>0</v>
      </c>
      <c r="S343" s="9">
        <f ca="1">'1RA SEGURIDAD PUBLICA'!Q24</f>
        <v>0</v>
      </c>
      <c r="T343" s="9">
        <f ca="1">'1RA SEGURIDAD PUBLICA'!R24</f>
        <v>0</v>
      </c>
      <c r="U343" s="9">
        <f ca="1">'1RA SEGURIDAD PUBLICA'!S24</f>
        <v>0</v>
      </c>
    </row>
    <row r="344" spans="1:21" ht="39.75" customHeight="1">
      <c r="A344" s="30"/>
      <c r="B344" s="30"/>
      <c r="C344" s="5" t="s">
        <v>391</v>
      </c>
      <c r="D344" s="9">
        <f ca="1">'1RA SEGURIDAD PUBLICA'!B25</f>
        <v>1</v>
      </c>
      <c r="E344" s="9">
        <f>'1RA SEGURIDAD PUBLICA'!C25</f>
        <v>0</v>
      </c>
      <c r="F344" s="9" t="str">
        <f ca="1">'1RA SEGURIDAD PUBLICA'!D25</f>
        <v>ASCENDENTE</v>
      </c>
      <c r="G344" s="9" t="str">
        <f ca="1">'1RA SEGURIDAD PUBLICA'!E25</f>
        <v>BITACORA OPERATIVA</v>
      </c>
      <c r="H344" s="9">
        <f ca="1">'1RA SEGURIDAD PUBLICA'!F25</f>
        <v>0</v>
      </c>
      <c r="I344" s="9">
        <f ca="1">'1RA SEGURIDAD PUBLICA'!G25</f>
        <v>0</v>
      </c>
      <c r="J344" s="9">
        <f ca="1">'1RA SEGURIDAD PUBLICA'!H25</f>
        <v>0</v>
      </c>
      <c r="K344" s="9">
        <f ca="1">'1RA SEGURIDAD PUBLICA'!I25</f>
        <v>0</v>
      </c>
      <c r="L344" s="9">
        <f ca="1">'1RA SEGURIDAD PUBLICA'!J25</f>
        <v>0</v>
      </c>
      <c r="M344" s="9">
        <f ca="1">'1RA SEGURIDAD PUBLICA'!K25</f>
        <v>0</v>
      </c>
      <c r="N344" s="9">
        <f ca="1">'1RA SEGURIDAD PUBLICA'!L25</f>
        <v>0</v>
      </c>
      <c r="O344" s="9">
        <f ca="1">'1RA SEGURIDAD PUBLICA'!M25</f>
        <v>0</v>
      </c>
      <c r="P344" s="9">
        <f ca="1">'1RA SEGURIDAD PUBLICA'!N25</f>
        <v>0</v>
      </c>
      <c r="Q344" s="9">
        <f ca="1">'1RA SEGURIDAD PUBLICA'!O25</f>
        <v>0</v>
      </c>
      <c r="R344" s="9">
        <f ca="1">'1RA SEGURIDAD PUBLICA'!P25</f>
        <v>0</v>
      </c>
      <c r="S344" s="9">
        <f ca="1">'1RA SEGURIDAD PUBLICA'!Q25</f>
        <v>0</v>
      </c>
      <c r="T344" s="9">
        <f ca="1">'1RA SEGURIDAD PUBLICA'!R25</f>
        <v>0</v>
      </c>
      <c r="U344" s="9">
        <f ca="1">'1RA SEGURIDAD PUBLICA'!S25</f>
        <v>0</v>
      </c>
    </row>
    <row r="345" spans="1:21" ht="39.75" customHeight="1">
      <c r="A345" s="30"/>
      <c r="B345" s="30"/>
      <c r="C345" s="5" t="s">
        <v>392</v>
      </c>
      <c r="D345" s="9">
        <f ca="1">'1RA SEGURIDAD PUBLICA'!B26</f>
        <v>1</v>
      </c>
      <c r="E345" s="9">
        <f>'1RA SEGURIDAD PUBLICA'!C26</f>
        <v>0</v>
      </c>
      <c r="F345" s="9" t="str">
        <f ca="1">'1RA SEGURIDAD PUBLICA'!D26</f>
        <v>ASCENDENTE</v>
      </c>
      <c r="G345" s="9" t="str">
        <f ca="1">'1RA SEGURIDAD PUBLICA'!E26</f>
        <v>BITACORA OPERATIVA</v>
      </c>
      <c r="H345" s="9">
        <f ca="1">'1RA SEGURIDAD PUBLICA'!F26</f>
        <v>0</v>
      </c>
      <c r="I345" s="9">
        <f ca="1">'1RA SEGURIDAD PUBLICA'!G26</f>
        <v>0</v>
      </c>
      <c r="J345" s="9">
        <f ca="1">'1RA SEGURIDAD PUBLICA'!H26</f>
        <v>0</v>
      </c>
      <c r="K345" s="9">
        <f ca="1">'1RA SEGURIDAD PUBLICA'!I26</f>
        <v>0</v>
      </c>
      <c r="L345" s="9">
        <f ca="1">'1RA SEGURIDAD PUBLICA'!J26</f>
        <v>0</v>
      </c>
      <c r="M345" s="9">
        <f ca="1">'1RA SEGURIDAD PUBLICA'!K26</f>
        <v>1</v>
      </c>
      <c r="N345" s="9">
        <f ca="1">'1RA SEGURIDAD PUBLICA'!L26</f>
        <v>0</v>
      </c>
      <c r="O345" s="9">
        <f ca="1">'1RA SEGURIDAD PUBLICA'!M26</f>
        <v>0</v>
      </c>
      <c r="P345" s="9">
        <f ca="1">'1RA SEGURIDAD PUBLICA'!N26</f>
        <v>0</v>
      </c>
      <c r="Q345" s="9">
        <f ca="1">'1RA SEGURIDAD PUBLICA'!O26</f>
        <v>0</v>
      </c>
      <c r="R345" s="9">
        <f ca="1">'1RA SEGURIDAD PUBLICA'!P26</f>
        <v>0</v>
      </c>
      <c r="S345" s="9">
        <f ca="1">'1RA SEGURIDAD PUBLICA'!Q26</f>
        <v>0</v>
      </c>
      <c r="T345" s="9">
        <f ca="1">'1RA SEGURIDAD PUBLICA'!R26</f>
        <v>0</v>
      </c>
      <c r="U345" s="9">
        <f ca="1">'1RA SEGURIDAD PUBLICA'!S26</f>
        <v>1</v>
      </c>
    </row>
    <row r="346" spans="1:21" ht="39.75" customHeight="1">
      <c r="A346" s="30"/>
      <c r="B346" s="30"/>
      <c r="C346" s="5" t="s">
        <v>393</v>
      </c>
      <c r="D346" s="9">
        <f ca="1">'1RA SEGURIDAD PUBLICA'!B27</f>
        <v>1</v>
      </c>
      <c r="E346" s="9">
        <f>'1RA SEGURIDAD PUBLICA'!C27</f>
        <v>0</v>
      </c>
      <c r="F346" s="9" t="str">
        <f ca="1">'1RA SEGURIDAD PUBLICA'!D27</f>
        <v>ASCENDENTE</v>
      </c>
      <c r="G346" s="9" t="str">
        <f ca="1">'1RA SEGURIDAD PUBLICA'!E27</f>
        <v>BITACORA OPERATIVA</v>
      </c>
      <c r="H346" s="9">
        <f ca="1">'1RA SEGURIDAD PUBLICA'!F27</f>
        <v>0</v>
      </c>
      <c r="I346" s="9">
        <f ca="1">'1RA SEGURIDAD PUBLICA'!G27</f>
        <v>0</v>
      </c>
      <c r="J346" s="9">
        <f ca="1">'1RA SEGURIDAD PUBLICA'!H27</f>
        <v>0</v>
      </c>
      <c r="K346" s="9">
        <f ca="1">'1RA SEGURIDAD PUBLICA'!I27</f>
        <v>0</v>
      </c>
      <c r="L346" s="9">
        <f ca="1">'1RA SEGURIDAD PUBLICA'!J27</f>
        <v>1</v>
      </c>
      <c r="M346" s="9">
        <f ca="1">'1RA SEGURIDAD PUBLICA'!K27</f>
        <v>0</v>
      </c>
      <c r="N346" s="9">
        <f ca="1">'1RA SEGURIDAD PUBLICA'!L27</f>
        <v>0</v>
      </c>
      <c r="O346" s="9">
        <f ca="1">'1RA SEGURIDAD PUBLICA'!M27</f>
        <v>0</v>
      </c>
      <c r="P346" s="9">
        <f ca="1">'1RA SEGURIDAD PUBLICA'!N27</f>
        <v>0</v>
      </c>
      <c r="Q346" s="9">
        <f ca="1">'1RA SEGURIDAD PUBLICA'!O27</f>
        <v>0</v>
      </c>
      <c r="R346" s="9">
        <f ca="1">'1RA SEGURIDAD PUBLICA'!P27</f>
        <v>0</v>
      </c>
      <c r="S346" s="9">
        <f ca="1">'1RA SEGURIDAD PUBLICA'!Q27</f>
        <v>0</v>
      </c>
      <c r="T346" s="9">
        <f ca="1">'1RA SEGURIDAD PUBLICA'!R27</f>
        <v>0</v>
      </c>
      <c r="U346" s="9">
        <f ca="1">'1RA SEGURIDAD PUBLICA'!S27</f>
        <v>1</v>
      </c>
    </row>
    <row r="347" spans="1:21" ht="39.75" customHeight="1">
      <c r="A347" s="30"/>
      <c r="B347" s="30"/>
      <c r="C347" s="5" t="s">
        <v>394</v>
      </c>
      <c r="D347" s="9">
        <f ca="1">'1RA SEGURIDAD PUBLICA'!B28</f>
        <v>1</v>
      </c>
      <c r="E347" s="9">
        <f>'1RA SEGURIDAD PUBLICA'!C28</f>
        <v>0</v>
      </c>
      <c r="F347" s="9" t="str">
        <f ca="1">'1RA SEGURIDAD PUBLICA'!D28</f>
        <v>ASCENDENTE</v>
      </c>
      <c r="G347" s="9" t="str">
        <f ca="1">'1RA SEGURIDAD PUBLICA'!E28</f>
        <v>BITACORA OPERATIVA</v>
      </c>
      <c r="H347" s="9">
        <f ca="1">'1RA SEGURIDAD PUBLICA'!F28</f>
        <v>0</v>
      </c>
      <c r="I347" s="9">
        <f ca="1">'1RA SEGURIDAD PUBLICA'!G28</f>
        <v>0</v>
      </c>
      <c r="J347" s="9">
        <f ca="1">'1RA SEGURIDAD PUBLICA'!H28</f>
        <v>0</v>
      </c>
      <c r="K347" s="9">
        <f ca="1">'1RA SEGURIDAD PUBLICA'!I28</f>
        <v>0</v>
      </c>
      <c r="L347" s="9">
        <f ca="1">'1RA SEGURIDAD PUBLICA'!J28</f>
        <v>0</v>
      </c>
      <c r="M347" s="9">
        <f ca="1">'1RA SEGURIDAD PUBLICA'!K28</f>
        <v>0</v>
      </c>
      <c r="N347" s="9">
        <f ca="1">'1RA SEGURIDAD PUBLICA'!L28</f>
        <v>0</v>
      </c>
      <c r="O347" s="9">
        <f ca="1">'1RA SEGURIDAD PUBLICA'!M28</f>
        <v>0</v>
      </c>
      <c r="P347" s="9">
        <f ca="1">'1RA SEGURIDAD PUBLICA'!N28</f>
        <v>0</v>
      </c>
      <c r="Q347" s="9">
        <f ca="1">'1RA SEGURIDAD PUBLICA'!O28</f>
        <v>0</v>
      </c>
      <c r="R347" s="9">
        <f ca="1">'1RA SEGURIDAD PUBLICA'!P28</f>
        <v>0</v>
      </c>
      <c r="S347" s="9">
        <f ca="1">'1RA SEGURIDAD PUBLICA'!Q28</f>
        <v>0</v>
      </c>
      <c r="T347" s="9">
        <f ca="1">'1RA SEGURIDAD PUBLICA'!R28</f>
        <v>0</v>
      </c>
      <c r="U347" s="9">
        <f ca="1">'1RA SEGURIDAD PUBLICA'!S28</f>
        <v>0</v>
      </c>
    </row>
    <row r="348" spans="1:21" ht="39.75" customHeight="1">
      <c r="A348" s="30"/>
      <c r="B348" s="30"/>
      <c r="C348" s="5" t="s">
        <v>395</v>
      </c>
      <c r="D348" s="9">
        <f ca="1">'1RA SEGURIDAD PUBLICA'!B29</f>
        <v>1</v>
      </c>
      <c r="E348" s="9">
        <f>'1RA SEGURIDAD PUBLICA'!C29</f>
        <v>0</v>
      </c>
      <c r="F348" s="9" t="str">
        <f ca="1">'1RA SEGURIDAD PUBLICA'!D29</f>
        <v>ASCENDENTE</v>
      </c>
      <c r="G348" s="9" t="str">
        <f ca="1">'1RA SEGURIDAD PUBLICA'!E29</f>
        <v>BITACORA OPERATIVA</v>
      </c>
      <c r="H348" s="9">
        <f ca="1">'1RA SEGURIDAD PUBLICA'!F29</f>
        <v>0</v>
      </c>
      <c r="I348" s="9">
        <f ca="1">'1RA SEGURIDAD PUBLICA'!G29</f>
        <v>0</v>
      </c>
      <c r="J348" s="9">
        <f ca="1">'1RA SEGURIDAD PUBLICA'!H29</f>
        <v>0</v>
      </c>
      <c r="K348" s="9">
        <f ca="1">'1RA SEGURIDAD PUBLICA'!I29</f>
        <v>0</v>
      </c>
      <c r="L348" s="9">
        <f ca="1">'1RA SEGURIDAD PUBLICA'!J29</f>
        <v>0</v>
      </c>
      <c r="M348" s="9">
        <f ca="1">'1RA SEGURIDAD PUBLICA'!K29</f>
        <v>0</v>
      </c>
      <c r="N348" s="9">
        <f ca="1">'1RA SEGURIDAD PUBLICA'!L29</f>
        <v>0</v>
      </c>
      <c r="O348" s="9">
        <f ca="1">'1RA SEGURIDAD PUBLICA'!M29</f>
        <v>0</v>
      </c>
      <c r="P348" s="9">
        <f ca="1">'1RA SEGURIDAD PUBLICA'!N29</f>
        <v>0</v>
      </c>
      <c r="Q348" s="9">
        <f ca="1">'1RA SEGURIDAD PUBLICA'!O29</f>
        <v>0</v>
      </c>
      <c r="R348" s="9">
        <f ca="1">'1RA SEGURIDAD PUBLICA'!P29</f>
        <v>0</v>
      </c>
      <c r="S348" s="9">
        <f ca="1">'1RA SEGURIDAD PUBLICA'!Q29</f>
        <v>0</v>
      </c>
      <c r="T348" s="9">
        <f ca="1">'1RA SEGURIDAD PUBLICA'!R29</f>
        <v>0</v>
      </c>
      <c r="U348" s="9">
        <f ca="1">'1RA SEGURIDAD PUBLICA'!S29</f>
        <v>0</v>
      </c>
    </row>
    <row r="349" spans="1:21" ht="39.75" customHeight="1">
      <c r="A349" s="30"/>
      <c r="B349" s="30"/>
      <c r="C349" s="5" t="s">
        <v>396</v>
      </c>
      <c r="D349" s="9">
        <f ca="1">'1RA SEGURIDAD PUBLICA'!B30</f>
        <v>1</v>
      </c>
      <c r="E349" s="9">
        <f>'1RA SEGURIDAD PUBLICA'!C30</f>
        <v>0</v>
      </c>
      <c r="F349" s="9" t="str">
        <f ca="1">'1RA SEGURIDAD PUBLICA'!D30</f>
        <v>ASCENDENTE</v>
      </c>
      <c r="G349" s="9" t="str">
        <f ca="1">'1RA SEGURIDAD PUBLICA'!E30</f>
        <v>BITACORA OPERATIVA</v>
      </c>
      <c r="H349" s="9">
        <f ca="1">'1RA SEGURIDAD PUBLICA'!F30</f>
        <v>0</v>
      </c>
      <c r="I349" s="9">
        <f ca="1">'1RA SEGURIDAD PUBLICA'!G30</f>
        <v>0</v>
      </c>
      <c r="J349" s="9">
        <f ca="1">'1RA SEGURIDAD PUBLICA'!H30</f>
        <v>0</v>
      </c>
      <c r="K349" s="9">
        <f ca="1">'1RA SEGURIDAD PUBLICA'!I30</f>
        <v>0</v>
      </c>
      <c r="L349" s="9">
        <f ca="1">'1RA SEGURIDAD PUBLICA'!J30</f>
        <v>0</v>
      </c>
      <c r="M349" s="9">
        <f ca="1">'1RA SEGURIDAD PUBLICA'!K30</f>
        <v>0</v>
      </c>
      <c r="N349" s="9">
        <f ca="1">'1RA SEGURIDAD PUBLICA'!L30</f>
        <v>0</v>
      </c>
      <c r="O349" s="9">
        <f ca="1">'1RA SEGURIDAD PUBLICA'!M30</f>
        <v>0</v>
      </c>
      <c r="P349" s="9">
        <f ca="1">'1RA SEGURIDAD PUBLICA'!N30</f>
        <v>0</v>
      </c>
      <c r="Q349" s="9">
        <f ca="1">'1RA SEGURIDAD PUBLICA'!O30</f>
        <v>0</v>
      </c>
      <c r="R349" s="9">
        <f ca="1">'1RA SEGURIDAD PUBLICA'!P30</f>
        <v>0</v>
      </c>
      <c r="S349" s="9">
        <f ca="1">'1RA SEGURIDAD PUBLICA'!Q30</f>
        <v>0</v>
      </c>
      <c r="T349" s="9">
        <f ca="1">'1RA SEGURIDAD PUBLICA'!R30</f>
        <v>0</v>
      </c>
      <c r="U349" s="9">
        <f ca="1">'1RA SEGURIDAD PUBLICA'!S30</f>
        <v>0</v>
      </c>
    </row>
    <row r="350" spans="1:21" ht="39.75" customHeight="1">
      <c r="A350" s="30"/>
      <c r="B350" s="30"/>
      <c r="C350" s="5" t="s">
        <v>397</v>
      </c>
      <c r="D350" s="9">
        <f ca="1">'1RA SEGURIDAD PUBLICA'!B31</f>
        <v>1</v>
      </c>
      <c r="E350" s="9">
        <f>'1RA SEGURIDAD PUBLICA'!C31</f>
        <v>0</v>
      </c>
      <c r="F350" s="9" t="str">
        <f ca="1">'1RA SEGURIDAD PUBLICA'!D31</f>
        <v>ASCENDENTE</v>
      </c>
      <c r="G350" s="9" t="str">
        <f ca="1">'1RA SEGURIDAD PUBLICA'!E31</f>
        <v>BITACORA OPERATIVA</v>
      </c>
      <c r="H350" s="9">
        <f ca="1">'1RA SEGURIDAD PUBLICA'!F31</f>
        <v>0</v>
      </c>
      <c r="I350" s="9">
        <f ca="1">'1RA SEGURIDAD PUBLICA'!G31</f>
        <v>0</v>
      </c>
      <c r="J350" s="9">
        <f ca="1">'1RA SEGURIDAD PUBLICA'!H31</f>
        <v>0</v>
      </c>
      <c r="K350" s="9">
        <f ca="1">'1RA SEGURIDAD PUBLICA'!I31</f>
        <v>0</v>
      </c>
      <c r="L350" s="9">
        <f ca="1">'1RA SEGURIDAD PUBLICA'!J31</f>
        <v>5</v>
      </c>
      <c r="M350" s="9">
        <f ca="1">'1RA SEGURIDAD PUBLICA'!K31</f>
        <v>9</v>
      </c>
      <c r="N350" s="9">
        <f ca="1">'1RA SEGURIDAD PUBLICA'!L31</f>
        <v>12</v>
      </c>
      <c r="O350" s="9">
        <f ca="1">'1RA SEGURIDAD PUBLICA'!M31</f>
        <v>0</v>
      </c>
      <c r="P350" s="9">
        <f ca="1">'1RA SEGURIDAD PUBLICA'!N31</f>
        <v>0</v>
      </c>
      <c r="Q350" s="9">
        <f ca="1">'1RA SEGURIDAD PUBLICA'!O31</f>
        <v>0</v>
      </c>
      <c r="R350" s="9">
        <f ca="1">'1RA SEGURIDAD PUBLICA'!P31</f>
        <v>0</v>
      </c>
      <c r="S350" s="9">
        <f ca="1">'1RA SEGURIDAD PUBLICA'!Q31</f>
        <v>0</v>
      </c>
      <c r="T350" s="9">
        <f ca="1">'1RA SEGURIDAD PUBLICA'!R31</f>
        <v>0</v>
      </c>
      <c r="U350" s="9">
        <f ca="1">'1RA SEGURIDAD PUBLICA'!S31</f>
        <v>26</v>
      </c>
    </row>
    <row r="351" spans="1:21" ht="39.75" customHeight="1">
      <c r="A351" s="30"/>
      <c r="B351" s="30"/>
      <c r="C351" s="5" t="s">
        <v>398</v>
      </c>
      <c r="D351" s="9">
        <f ca="1">'1RA SEGURIDAD PUBLICA'!B32</f>
        <v>1</v>
      </c>
      <c r="E351" s="9">
        <f>'1RA SEGURIDAD PUBLICA'!C32</f>
        <v>0</v>
      </c>
      <c r="F351" s="9" t="str">
        <f ca="1">'1RA SEGURIDAD PUBLICA'!D32</f>
        <v>ASCENDENTE</v>
      </c>
      <c r="G351" s="9" t="str">
        <f ca="1">'1RA SEGURIDAD PUBLICA'!E32</f>
        <v>BITACORA OPERATIVA</v>
      </c>
      <c r="H351" s="9">
        <f ca="1">'1RA SEGURIDAD PUBLICA'!F32</f>
        <v>0</v>
      </c>
      <c r="I351" s="9">
        <f ca="1">'1RA SEGURIDAD PUBLICA'!G32</f>
        <v>0</v>
      </c>
      <c r="J351" s="9">
        <f ca="1">'1RA SEGURIDAD PUBLICA'!H32</f>
        <v>0</v>
      </c>
      <c r="K351" s="9">
        <f ca="1">'1RA SEGURIDAD PUBLICA'!I32</f>
        <v>0</v>
      </c>
      <c r="L351" s="9">
        <f ca="1">'1RA SEGURIDAD PUBLICA'!J32</f>
        <v>2</v>
      </c>
      <c r="M351" s="9">
        <f ca="1">'1RA SEGURIDAD PUBLICA'!K32</f>
        <v>2</v>
      </c>
      <c r="N351" s="9">
        <f ca="1">'1RA SEGURIDAD PUBLICA'!L32</f>
        <v>0</v>
      </c>
      <c r="O351" s="9">
        <f ca="1">'1RA SEGURIDAD PUBLICA'!M32</f>
        <v>0</v>
      </c>
      <c r="P351" s="9">
        <f ca="1">'1RA SEGURIDAD PUBLICA'!N32</f>
        <v>0</v>
      </c>
      <c r="Q351" s="9">
        <f ca="1">'1RA SEGURIDAD PUBLICA'!O32</f>
        <v>0</v>
      </c>
      <c r="R351" s="9">
        <f ca="1">'1RA SEGURIDAD PUBLICA'!P32</f>
        <v>0</v>
      </c>
      <c r="S351" s="9">
        <f ca="1">'1RA SEGURIDAD PUBLICA'!Q32</f>
        <v>0</v>
      </c>
      <c r="T351" s="9">
        <f ca="1">'1RA SEGURIDAD PUBLICA'!R32</f>
        <v>0</v>
      </c>
      <c r="U351" s="9">
        <f ca="1">'1RA SEGURIDAD PUBLICA'!S32</f>
        <v>4</v>
      </c>
    </row>
    <row r="352" spans="1:21" ht="39.75" customHeight="1">
      <c r="A352" s="30"/>
      <c r="B352" s="30"/>
      <c r="C352" s="5" t="s">
        <v>399</v>
      </c>
      <c r="D352" s="9">
        <f ca="1">'1RA SEGURIDAD PUBLICA'!B33</f>
        <v>1</v>
      </c>
      <c r="E352" s="9">
        <f>'1RA SEGURIDAD PUBLICA'!C33</f>
        <v>0</v>
      </c>
      <c r="F352" s="9" t="str">
        <f ca="1">'1RA SEGURIDAD PUBLICA'!D33</f>
        <v>ASCENDENTE</v>
      </c>
      <c r="G352" s="9" t="str">
        <f ca="1">'1RA SEGURIDAD PUBLICA'!E33</f>
        <v>BITACORA OPERATIVA</v>
      </c>
      <c r="H352" s="9">
        <f ca="1">'1RA SEGURIDAD PUBLICA'!F33</f>
        <v>0</v>
      </c>
      <c r="I352" s="9">
        <f ca="1">'1RA SEGURIDAD PUBLICA'!G33</f>
        <v>0</v>
      </c>
      <c r="J352" s="9">
        <f ca="1">'1RA SEGURIDAD PUBLICA'!H33</f>
        <v>0</v>
      </c>
      <c r="K352" s="9">
        <f ca="1">'1RA SEGURIDAD PUBLICA'!I33</f>
        <v>0</v>
      </c>
      <c r="L352" s="9">
        <f ca="1">'1RA SEGURIDAD PUBLICA'!J33</f>
        <v>0</v>
      </c>
      <c r="M352" s="9">
        <f ca="1">'1RA SEGURIDAD PUBLICA'!K33</f>
        <v>0</v>
      </c>
      <c r="N352" s="9">
        <f ca="1">'1RA SEGURIDAD PUBLICA'!L33</f>
        <v>0</v>
      </c>
      <c r="O352" s="9">
        <f ca="1">'1RA SEGURIDAD PUBLICA'!M33</f>
        <v>0</v>
      </c>
      <c r="P352" s="9">
        <f ca="1">'1RA SEGURIDAD PUBLICA'!N33</f>
        <v>0</v>
      </c>
      <c r="Q352" s="9">
        <f ca="1">'1RA SEGURIDAD PUBLICA'!O33</f>
        <v>0</v>
      </c>
      <c r="R352" s="9">
        <f ca="1">'1RA SEGURIDAD PUBLICA'!P33</f>
        <v>0</v>
      </c>
      <c r="S352" s="9">
        <f ca="1">'1RA SEGURIDAD PUBLICA'!Q33</f>
        <v>0</v>
      </c>
      <c r="T352" s="9">
        <f ca="1">'1RA SEGURIDAD PUBLICA'!R33</f>
        <v>0</v>
      </c>
      <c r="U352" s="9">
        <f ca="1">'1RA SEGURIDAD PUBLICA'!S33</f>
        <v>0</v>
      </c>
    </row>
    <row r="353" spans="1:21" ht="39.75" customHeight="1">
      <c r="A353" s="30"/>
      <c r="B353" s="30"/>
      <c r="C353" s="5" t="s">
        <v>400</v>
      </c>
      <c r="D353" s="9">
        <f ca="1">'1RA SEGURIDAD PUBLICA'!B34</f>
        <v>1</v>
      </c>
      <c r="E353" s="9">
        <f>'1RA SEGURIDAD PUBLICA'!C34</f>
        <v>0</v>
      </c>
      <c r="F353" s="9" t="str">
        <f ca="1">'1RA SEGURIDAD PUBLICA'!D34</f>
        <v>ASCENDENTE</v>
      </c>
      <c r="G353" s="9" t="str">
        <f ca="1">'1RA SEGURIDAD PUBLICA'!E34</f>
        <v>BITACORA OPERATIVA</v>
      </c>
      <c r="H353" s="9">
        <f ca="1">'1RA SEGURIDAD PUBLICA'!F34</f>
        <v>0</v>
      </c>
      <c r="I353" s="9">
        <f ca="1">'1RA SEGURIDAD PUBLICA'!G34</f>
        <v>0</v>
      </c>
      <c r="J353" s="9">
        <f ca="1">'1RA SEGURIDAD PUBLICA'!H34</f>
        <v>0</v>
      </c>
      <c r="K353" s="9">
        <f ca="1">'1RA SEGURIDAD PUBLICA'!I34</f>
        <v>0</v>
      </c>
      <c r="L353" s="9">
        <f ca="1">'1RA SEGURIDAD PUBLICA'!J34</f>
        <v>7</v>
      </c>
      <c r="M353" s="9">
        <f ca="1">'1RA SEGURIDAD PUBLICA'!K34</f>
        <v>20</v>
      </c>
      <c r="N353" s="9">
        <f ca="1">'1RA SEGURIDAD PUBLICA'!L34</f>
        <v>25</v>
      </c>
      <c r="O353" s="9">
        <f ca="1">'1RA SEGURIDAD PUBLICA'!M34</f>
        <v>0</v>
      </c>
      <c r="P353" s="9">
        <f ca="1">'1RA SEGURIDAD PUBLICA'!N34</f>
        <v>0</v>
      </c>
      <c r="Q353" s="9">
        <f ca="1">'1RA SEGURIDAD PUBLICA'!O34</f>
        <v>0</v>
      </c>
      <c r="R353" s="9">
        <f ca="1">'1RA SEGURIDAD PUBLICA'!P34</f>
        <v>0</v>
      </c>
      <c r="S353" s="9">
        <f ca="1">'1RA SEGURIDAD PUBLICA'!Q34</f>
        <v>0</v>
      </c>
      <c r="T353" s="9">
        <f ca="1">'1RA SEGURIDAD PUBLICA'!R34</f>
        <v>0</v>
      </c>
      <c r="U353" s="9">
        <f ca="1">'1RA SEGURIDAD PUBLICA'!S34</f>
        <v>52</v>
      </c>
    </row>
    <row r="354" spans="1:21" ht="39.75" customHeight="1">
      <c r="A354" s="30"/>
      <c r="B354" s="31"/>
      <c r="C354" s="5" t="s">
        <v>401</v>
      </c>
      <c r="D354" s="9">
        <f ca="1">'1RA SEGURIDAD PUBLICA'!B35</f>
        <v>1</v>
      </c>
      <c r="E354" s="9">
        <f>'1RA SEGURIDAD PUBLICA'!C35</f>
        <v>0</v>
      </c>
      <c r="F354" s="9" t="str">
        <f ca="1">'1RA SEGURIDAD PUBLICA'!D35</f>
        <v>ASCENDENTE</v>
      </c>
      <c r="G354" s="9" t="str">
        <f ca="1">'1RA SEGURIDAD PUBLICA'!E35</f>
        <v>BITACORA OPERATIVA</v>
      </c>
      <c r="H354" s="9">
        <f ca="1">'1RA SEGURIDAD PUBLICA'!F35</f>
        <v>0</v>
      </c>
      <c r="I354" s="9">
        <f ca="1">'1RA SEGURIDAD PUBLICA'!G35</f>
        <v>0</v>
      </c>
      <c r="J354" s="9">
        <f ca="1">'1RA SEGURIDAD PUBLICA'!H35</f>
        <v>0</v>
      </c>
      <c r="K354" s="9">
        <f ca="1">'1RA SEGURIDAD PUBLICA'!I35</f>
        <v>0</v>
      </c>
      <c r="L354" s="9">
        <f ca="1">'1RA SEGURIDAD PUBLICA'!J35</f>
        <v>0</v>
      </c>
      <c r="M354" s="9">
        <f ca="1">'1RA SEGURIDAD PUBLICA'!K35</f>
        <v>0</v>
      </c>
      <c r="N354" s="9">
        <f ca="1">'1RA SEGURIDAD PUBLICA'!L35</f>
        <v>0</v>
      </c>
      <c r="O354" s="9">
        <f ca="1">'1RA SEGURIDAD PUBLICA'!M35</f>
        <v>0</v>
      </c>
      <c r="P354" s="9">
        <f ca="1">'1RA SEGURIDAD PUBLICA'!N35</f>
        <v>0</v>
      </c>
      <c r="Q354" s="9">
        <f ca="1">'1RA SEGURIDAD PUBLICA'!O35</f>
        <v>0</v>
      </c>
      <c r="R354" s="9">
        <f ca="1">'1RA SEGURIDAD PUBLICA'!P35</f>
        <v>0</v>
      </c>
      <c r="S354" s="9">
        <f ca="1">'1RA SEGURIDAD PUBLICA'!Q35</f>
        <v>0</v>
      </c>
      <c r="T354" s="9">
        <f ca="1">'1RA SEGURIDAD PUBLICA'!R35</f>
        <v>0</v>
      </c>
      <c r="U354" s="9">
        <f ca="1">'1RA SEGURIDAD PUBLICA'!S35</f>
        <v>0</v>
      </c>
    </row>
    <row r="355" spans="1:21" ht="39.75" customHeight="1">
      <c r="A355" s="30"/>
      <c r="B355" s="32" t="s">
        <v>402</v>
      </c>
      <c r="C355" s="5" t="s">
        <v>403</v>
      </c>
      <c r="D355" s="9">
        <f ca="1">'1RA SEGURIDAD PUBLICA'!B36</f>
        <v>1</v>
      </c>
      <c r="E355" s="9">
        <f>'1RA SEGURIDAD PUBLICA'!C36</f>
        <v>0</v>
      </c>
      <c r="F355" s="9" t="str">
        <f ca="1">'1RA SEGURIDAD PUBLICA'!D36</f>
        <v>ASCENDENTE</v>
      </c>
      <c r="G355" s="9" t="str">
        <f ca="1">'1RA SEGURIDAD PUBLICA'!E36</f>
        <v>BITACORA OPERATIVA</v>
      </c>
      <c r="H355" s="9">
        <f ca="1">'1RA SEGURIDAD PUBLICA'!F36</f>
        <v>0</v>
      </c>
      <c r="I355" s="9">
        <f ca="1">'1RA SEGURIDAD PUBLICA'!G36</f>
        <v>0</v>
      </c>
      <c r="J355" s="9">
        <f ca="1">'1RA SEGURIDAD PUBLICA'!H36</f>
        <v>0</v>
      </c>
      <c r="K355" s="9">
        <f ca="1">'1RA SEGURIDAD PUBLICA'!I36</f>
        <v>0</v>
      </c>
      <c r="L355" s="9">
        <f ca="1">'1RA SEGURIDAD PUBLICA'!J36</f>
        <v>378</v>
      </c>
      <c r="M355" s="9">
        <f ca="1">'1RA SEGURIDAD PUBLICA'!K36</f>
        <v>363</v>
      </c>
      <c r="N355" s="9">
        <f ca="1">'1RA SEGURIDAD PUBLICA'!L36</f>
        <v>375</v>
      </c>
      <c r="O355" s="9">
        <f ca="1">'1RA SEGURIDAD PUBLICA'!M36</f>
        <v>0</v>
      </c>
      <c r="P355" s="9">
        <f ca="1">'1RA SEGURIDAD PUBLICA'!N36</f>
        <v>0</v>
      </c>
      <c r="Q355" s="9">
        <f ca="1">'1RA SEGURIDAD PUBLICA'!O36</f>
        <v>0</v>
      </c>
      <c r="R355" s="9">
        <f ca="1">'1RA SEGURIDAD PUBLICA'!P36</f>
        <v>0</v>
      </c>
      <c r="S355" s="9">
        <f ca="1">'1RA SEGURIDAD PUBLICA'!Q36</f>
        <v>0</v>
      </c>
      <c r="T355" s="9">
        <f ca="1">'1RA SEGURIDAD PUBLICA'!R36</f>
        <v>0</v>
      </c>
      <c r="U355" s="9">
        <f ca="1">'1RA SEGURIDAD PUBLICA'!S36</f>
        <v>1116</v>
      </c>
    </row>
    <row r="356" spans="1:21" ht="39.75" customHeight="1">
      <c r="A356" s="30"/>
      <c r="B356" s="30"/>
      <c r="C356" s="5" t="s">
        <v>404</v>
      </c>
      <c r="D356" s="9">
        <f ca="1">'1RA SEGURIDAD PUBLICA'!B37</f>
        <v>1</v>
      </c>
      <c r="E356" s="9">
        <f>'1RA SEGURIDAD PUBLICA'!C37</f>
        <v>0</v>
      </c>
      <c r="F356" s="9" t="str">
        <f ca="1">'1RA SEGURIDAD PUBLICA'!D37</f>
        <v>ASCENDENTE</v>
      </c>
      <c r="G356" s="9" t="str">
        <f ca="1">'1RA SEGURIDAD PUBLICA'!E37</f>
        <v>BITACORA OPERATIVA</v>
      </c>
      <c r="H356" s="9">
        <f ca="1">'1RA SEGURIDAD PUBLICA'!F37</f>
        <v>0</v>
      </c>
      <c r="I356" s="9">
        <f ca="1">'1RA SEGURIDAD PUBLICA'!G37</f>
        <v>0</v>
      </c>
      <c r="J356" s="9">
        <f ca="1">'1RA SEGURIDAD PUBLICA'!H37</f>
        <v>0</v>
      </c>
      <c r="K356" s="9">
        <f ca="1">'1RA SEGURIDAD PUBLICA'!I37</f>
        <v>0</v>
      </c>
      <c r="L356" s="9">
        <f ca="1">'1RA SEGURIDAD PUBLICA'!J37</f>
        <v>160</v>
      </c>
      <c r="M356" s="9">
        <f ca="1">'1RA SEGURIDAD PUBLICA'!K37</f>
        <v>177</v>
      </c>
      <c r="N356" s="9">
        <f ca="1">'1RA SEGURIDAD PUBLICA'!L37</f>
        <v>195</v>
      </c>
      <c r="O356" s="9">
        <f ca="1">'1RA SEGURIDAD PUBLICA'!M37</f>
        <v>0</v>
      </c>
      <c r="P356" s="9">
        <f ca="1">'1RA SEGURIDAD PUBLICA'!N37</f>
        <v>0</v>
      </c>
      <c r="Q356" s="9">
        <f ca="1">'1RA SEGURIDAD PUBLICA'!O37</f>
        <v>0</v>
      </c>
      <c r="R356" s="9">
        <f ca="1">'1RA SEGURIDAD PUBLICA'!P37</f>
        <v>0</v>
      </c>
      <c r="S356" s="9">
        <f ca="1">'1RA SEGURIDAD PUBLICA'!Q37</f>
        <v>0</v>
      </c>
      <c r="T356" s="9">
        <f ca="1">'1RA SEGURIDAD PUBLICA'!R37</f>
        <v>0</v>
      </c>
      <c r="U356" s="9">
        <f ca="1">'1RA SEGURIDAD PUBLICA'!S37</f>
        <v>532</v>
      </c>
    </row>
    <row r="357" spans="1:21" ht="39.75" customHeight="1">
      <c r="A357" s="30"/>
      <c r="B357" s="30"/>
      <c r="C357" s="5" t="s">
        <v>405</v>
      </c>
      <c r="D357" s="9">
        <f ca="1">'1RA SEGURIDAD PUBLICA'!B38</f>
        <v>1</v>
      </c>
      <c r="E357" s="9">
        <f>'1RA SEGURIDAD PUBLICA'!C38</f>
        <v>0</v>
      </c>
      <c r="F357" s="9" t="str">
        <f ca="1">'1RA SEGURIDAD PUBLICA'!D38</f>
        <v>ASCENDENTE</v>
      </c>
      <c r="G357" s="9" t="str">
        <f ca="1">'1RA SEGURIDAD PUBLICA'!E38</f>
        <v>BITACORA OPERATIVA</v>
      </c>
      <c r="H357" s="9">
        <f ca="1">'1RA SEGURIDAD PUBLICA'!F38</f>
        <v>0</v>
      </c>
      <c r="I357" s="9">
        <f ca="1">'1RA SEGURIDAD PUBLICA'!G38</f>
        <v>0</v>
      </c>
      <c r="J357" s="9">
        <f ca="1">'1RA SEGURIDAD PUBLICA'!H38</f>
        <v>0</v>
      </c>
      <c r="K357" s="9">
        <f ca="1">'1RA SEGURIDAD PUBLICA'!I38</f>
        <v>0</v>
      </c>
      <c r="L357" s="9">
        <f ca="1">'1RA SEGURIDAD PUBLICA'!J38</f>
        <v>2</v>
      </c>
      <c r="M357" s="9">
        <f ca="1">'1RA SEGURIDAD PUBLICA'!K38</f>
        <v>14</v>
      </c>
      <c r="N357" s="9">
        <f ca="1">'1RA SEGURIDAD PUBLICA'!L38</f>
        <v>20</v>
      </c>
      <c r="O357" s="9">
        <f ca="1">'1RA SEGURIDAD PUBLICA'!M38</f>
        <v>0</v>
      </c>
      <c r="P357" s="9">
        <f ca="1">'1RA SEGURIDAD PUBLICA'!N38</f>
        <v>0</v>
      </c>
      <c r="Q357" s="9">
        <f ca="1">'1RA SEGURIDAD PUBLICA'!O38</f>
        <v>0</v>
      </c>
      <c r="R357" s="9">
        <f ca="1">'1RA SEGURIDAD PUBLICA'!P38</f>
        <v>0</v>
      </c>
      <c r="S357" s="9">
        <f ca="1">'1RA SEGURIDAD PUBLICA'!Q38</f>
        <v>0</v>
      </c>
      <c r="T357" s="9">
        <f ca="1">'1RA SEGURIDAD PUBLICA'!R38</f>
        <v>0</v>
      </c>
      <c r="U357" s="9">
        <f ca="1">'1RA SEGURIDAD PUBLICA'!S38</f>
        <v>36</v>
      </c>
    </row>
    <row r="358" spans="1:21" ht="39.75" customHeight="1">
      <c r="A358" s="31"/>
      <c r="B358" s="31"/>
      <c r="C358" s="5" t="s">
        <v>406</v>
      </c>
      <c r="D358" s="9">
        <f ca="1">'1RA SEGURIDAD PUBLICA'!B39</f>
        <v>1</v>
      </c>
      <c r="E358" s="9">
        <f>'1RA SEGURIDAD PUBLICA'!C39</f>
        <v>0</v>
      </c>
      <c r="F358" s="9" t="str">
        <f ca="1">'1RA SEGURIDAD PUBLICA'!D39</f>
        <v>ASCENDENTE</v>
      </c>
      <c r="G358" s="9" t="str">
        <f ca="1">'1RA SEGURIDAD PUBLICA'!E39</f>
        <v>BITACORA OPERATIVA</v>
      </c>
      <c r="H358" s="9">
        <f ca="1">'1RA SEGURIDAD PUBLICA'!F39</f>
        <v>0</v>
      </c>
      <c r="I358" s="9">
        <f ca="1">'1RA SEGURIDAD PUBLICA'!G39</f>
        <v>0</v>
      </c>
      <c r="J358" s="9">
        <f ca="1">'1RA SEGURIDAD PUBLICA'!H39</f>
        <v>0</v>
      </c>
      <c r="K358" s="9">
        <f ca="1">'1RA SEGURIDAD PUBLICA'!I39</f>
        <v>0</v>
      </c>
      <c r="L358" s="9">
        <f ca="1">'1RA SEGURIDAD PUBLICA'!J39</f>
        <v>2</v>
      </c>
      <c r="M358" s="9">
        <f ca="1">'1RA SEGURIDAD PUBLICA'!K39</f>
        <v>4</v>
      </c>
      <c r="N358" s="9">
        <f ca="1">'1RA SEGURIDAD PUBLICA'!L39</f>
        <v>24</v>
      </c>
      <c r="O358" s="9">
        <f ca="1">'1RA SEGURIDAD PUBLICA'!M39</f>
        <v>0</v>
      </c>
      <c r="P358" s="9">
        <f ca="1">'1RA SEGURIDAD PUBLICA'!N39</f>
        <v>0</v>
      </c>
      <c r="Q358" s="9">
        <f ca="1">'1RA SEGURIDAD PUBLICA'!O39</f>
        <v>0</v>
      </c>
      <c r="R358" s="9">
        <f ca="1">'1RA SEGURIDAD PUBLICA'!P39</f>
        <v>0</v>
      </c>
      <c r="S358" s="9">
        <f ca="1">'1RA SEGURIDAD PUBLICA'!Q39</f>
        <v>0</v>
      </c>
      <c r="T358" s="9">
        <f ca="1">'1RA SEGURIDAD PUBLICA'!R39</f>
        <v>0</v>
      </c>
      <c r="U358" s="9">
        <f ca="1">'1RA SEGURIDAD PUBLICA'!S39</f>
        <v>30</v>
      </c>
    </row>
    <row r="359" spans="1:21" ht="39.75" customHeight="1">
      <c r="A359" s="32" t="s">
        <v>407</v>
      </c>
      <c r="B359" s="32" t="s">
        <v>408</v>
      </c>
      <c r="C359" s="5" t="s">
        <v>409</v>
      </c>
      <c r="D359" s="9">
        <f ca="1">'1RA GESTION DE LA CIUDAD'!B2</f>
        <v>1</v>
      </c>
      <c r="E359" s="9">
        <f>'1RA GESTION DE LA CIUDAD'!C2</f>
        <v>0</v>
      </c>
      <c r="F359" s="9" t="str">
        <f ca="1">'1RA GESTION DE LA CIUDAD'!D2</f>
        <v>ASCENDENTE</v>
      </c>
      <c r="G359" s="9" t="str">
        <f ca="1">'1RA GESTION DE LA CIUDAD'!E2</f>
        <v>SESIONES PUBLICAS</v>
      </c>
      <c r="H359" s="9">
        <f ca="1">'1RA GESTION DE LA CIUDAD'!F2</f>
        <v>0</v>
      </c>
      <c r="I359" s="9">
        <f ca="1">'1RA GESTION DE LA CIUDAD'!G2</f>
        <v>0</v>
      </c>
      <c r="J359" s="9">
        <f ca="1">'1RA GESTION DE LA CIUDAD'!H2</f>
        <v>0</v>
      </c>
      <c r="K359" s="9">
        <f ca="1">'1RA GESTION DE LA CIUDAD'!I2</f>
        <v>0</v>
      </c>
      <c r="L359" s="9">
        <f ca="1">'1RA GESTION DE LA CIUDAD'!J2</f>
        <v>2400</v>
      </c>
      <c r="M359" s="9">
        <f ca="1">'1RA GESTION DE LA CIUDAD'!K2</f>
        <v>2400</v>
      </c>
      <c r="N359" s="9">
        <f ca="1">'1RA GESTION DE LA CIUDAD'!L2</f>
        <v>2400</v>
      </c>
      <c r="O359" s="9">
        <f ca="1">'1RA GESTION DE LA CIUDAD'!M2</f>
        <v>0</v>
      </c>
      <c r="P359" s="9">
        <f ca="1">'1RA GESTION DE LA CIUDAD'!N2</f>
        <v>0</v>
      </c>
      <c r="Q359" s="9">
        <f ca="1">'1RA GESTION DE LA CIUDAD'!O2</f>
        <v>0</v>
      </c>
      <c r="R359" s="9">
        <f ca="1">'1RA GESTION DE LA CIUDAD'!P2</f>
        <v>0</v>
      </c>
      <c r="S359" s="9">
        <f ca="1">'1RA GESTION DE LA CIUDAD'!Q2</f>
        <v>0</v>
      </c>
      <c r="T359" s="9">
        <f ca="1">'1RA GESTION DE LA CIUDAD'!R2</f>
        <v>0</v>
      </c>
      <c r="U359" s="9">
        <f ca="1">'1RA GESTION DE LA CIUDAD'!S2</f>
        <v>7200</v>
      </c>
    </row>
    <row r="360" spans="1:21" ht="39.75" customHeight="1">
      <c r="A360" s="30"/>
      <c r="B360" s="30"/>
      <c r="C360" s="5" t="s">
        <v>410</v>
      </c>
      <c r="D360" s="9">
        <f ca="1">'1RA GESTION DE LA CIUDAD'!B3</f>
        <v>1</v>
      </c>
      <c r="E360" s="9">
        <f>'1RA GESTION DE LA CIUDAD'!C3</f>
        <v>0</v>
      </c>
      <c r="F360" s="9" t="str">
        <f ca="1">'1RA GESTION DE LA CIUDAD'!D3</f>
        <v>ASCENDENTE</v>
      </c>
      <c r="G360" s="9" t="str">
        <f ca="1">'1RA GESTION DE LA CIUDAD'!E3</f>
        <v>BITACORA DE ATENCION</v>
      </c>
      <c r="H360" s="9">
        <f ca="1">'1RA GESTION DE LA CIUDAD'!F3</f>
        <v>0</v>
      </c>
      <c r="I360" s="9">
        <f ca="1">'1RA GESTION DE LA CIUDAD'!G3</f>
        <v>0</v>
      </c>
      <c r="J360" s="9">
        <f ca="1">'1RA GESTION DE LA CIUDAD'!H3</f>
        <v>0</v>
      </c>
      <c r="K360" s="9">
        <f ca="1">'1RA GESTION DE LA CIUDAD'!I3</f>
        <v>0</v>
      </c>
      <c r="L360" s="9">
        <f ca="1">'1RA GESTION DE LA CIUDAD'!J3</f>
        <v>319</v>
      </c>
      <c r="M360" s="9">
        <f ca="1">'1RA GESTION DE LA CIUDAD'!K3</f>
        <v>354</v>
      </c>
      <c r="N360" s="9">
        <f ca="1">'1RA GESTION DE LA CIUDAD'!L3</f>
        <v>0</v>
      </c>
      <c r="O360" s="9">
        <f ca="1">'1RA GESTION DE LA CIUDAD'!M3</f>
        <v>0</v>
      </c>
      <c r="P360" s="9">
        <f ca="1">'1RA GESTION DE LA CIUDAD'!N3</f>
        <v>0</v>
      </c>
      <c r="Q360" s="9">
        <f ca="1">'1RA GESTION DE LA CIUDAD'!O3</f>
        <v>0</v>
      </c>
      <c r="R360" s="9">
        <f ca="1">'1RA GESTION DE LA CIUDAD'!P3</f>
        <v>0</v>
      </c>
      <c r="S360" s="9">
        <f ca="1">'1RA GESTION DE LA CIUDAD'!Q3</f>
        <v>0</v>
      </c>
      <c r="T360" s="9">
        <f ca="1">'1RA GESTION DE LA CIUDAD'!R3</f>
        <v>0</v>
      </c>
      <c r="U360" s="9">
        <f ca="1">'1RA GESTION DE LA CIUDAD'!S3</f>
        <v>673</v>
      </c>
    </row>
    <row r="361" spans="1:21" ht="39.75" customHeight="1">
      <c r="A361" s="30"/>
      <c r="B361" s="31"/>
      <c r="C361" s="5" t="s">
        <v>411</v>
      </c>
      <c r="D361" s="9">
        <f ca="1">'1RA GESTION DE LA CIUDAD'!B4</f>
        <v>1</v>
      </c>
      <c r="E361" s="9">
        <f>'1RA GESTION DE LA CIUDAD'!C4</f>
        <v>0</v>
      </c>
      <c r="F361" s="9" t="str">
        <f ca="1">'1RA GESTION DE LA CIUDAD'!D4</f>
        <v>ASCENDENTE</v>
      </c>
      <c r="G361" s="9" t="str">
        <f ca="1">'1RA GESTION DE LA CIUDAD'!E4</f>
        <v>BITACORA DE ATENCION</v>
      </c>
      <c r="H361" s="9">
        <f ca="1">'1RA GESTION DE LA CIUDAD'!F4</f>
        <v>0</v>
      </c>
      <c r="I361" s="9">
        <f ca="1">'1RA GESTION DE LA CIUDAD'!G4</f>
        <v>0</v>
      </c>
      <c r="J361" s="9">
        <f ca="1">'1RA GESTION DE LA CIUDAD'!H4</f>
        <v>0</v>
      </c>
      <c r="K361" s="9">
        <f ca="1">'1RA GESTION DE LA CIUDAD'!I4</f>
        <v>0</v>
      </c>
      <c r="L361" s="9">
        <f ca="1">'1RA GESTION DE LA CIUDAD'!J4</f>
        <v>9</v>
      </c>
      <c r="M361" s="9">
        <f ca="1">'1RA GESTION DE LA CIUDAD'!K4</f>
        <v>9</v>
      </c>
      <c r="N361" s="9">
        <f ca="1">'1RA GESTION DE LA CIUDAD'!L4</f>
        <v>0</v>
      </c>
      <c r="O361" s="9">
        <f ca="1">'1RA GESTION DE LA CIUDAD'!M4</f>
        <v>0</v>
      </c>
      <c r="P361" s="9">
        <f ca="1">'1RA GESTION DE LA CIUDAD'!N4</f>
        <v>0</v>
      </c>
      <c r="Q361" s="9">
        <f ca="1">'1RA GESTION DE LA CIUDAD'!O4</f>
        <v>0</v>
      </c>
      <c r="R361" s="9">
        <f ca="1">'1RA GESTION DE LA CIUDAD'!P4</f>
        <v>0</v>
      </c>
      <c r="S361" s="9">
        <f ca="1">'1RA GESTION DE LA CIUDAD'!Q4</f>
        <v>0</v>
      </c>
      <c r="T361" s="9">
        <f ca="1">'1RA GESTION DE LA CIUDAD'!R4</f>
        <v>0</v>
      </c>
      <c r="U361" s="9">
        <f ca="1">'1RA GESTION DE LA CIUDAD'!S4</f>
        <v>18</v>
      </c>
    </row>
    <row r="362" spans="1:21" ht="39.75" customHeight="1">
      <c r="A362" s="30"/>
      <c r="B362" s="32" t="s">
        <v>412</v>
      </c>
      <c r="C362" s="5" t="s">
        <v>413</v>
      </c>
      <c r="D362" s="9">
        <f ca="1">'1RA GESTION DE LA CIUDAD'!B5</f>
        <v>1</v>
      </c>
      <c r="E362" s="9">
        <f>'1RA GESTION DE LA CIUDAD'!C5</f>
        <v>0</v>
      </c>
      <c r="F362" s="9" t="str">
        <f ca="1">'1RA GESTION DE LA CIUDAD'!D5</f>
        <v>ASCENDENTE</v>
      </c>
      <c r="G362" s="9" t="str">
        <f ca="1">'1RA GESTION DE LA CIUDAD'!E5</f>
        <v>BITACORA OPERATIVA</v>
      </c>
      <c r="H362" s="9">
        <f ca="1">'1RA GESTION DE LA CIUDAD'!F5</f>
        <v>0</v>
      </c>
      <c r="I362" s="9">
        <f ca="1">'1RA GESTION DE LA CIUDAD'!G5</f>
        <v>0</v>
      </c>
      <c r="J362" s="9">
        <f ca="1">'1RA GESTION DE LA CIUDAD'!H5</f>
        <v>0</v>
      </c>
      <c r="K362" s="9">
        <f ca="1">'1RA GESTION DE LA CIUDAD'!I5</f>
        <v>0</v>
      </c>
      <c r="L362" s="9">
        <f ca="1">'1RA GESTION DE LA CIUDAD'!J5</f>
        <v>9</v>
      </c>
      <c r="M362" s="9">
        <f ca="1">'1RA GESTION DE LA CIUDAD'!K5</f>
        <v>9</v>
      </c>
      <c r="N362" s="9">
        <f ca="1">'1RA GESTION DE LA CIUDAD'!L5</f>
        <v>6</v>
      </c>
      <c r="O362" s="9">
        <f ca="1">'1RA GESTION DE LA CIUDAD'!M5</f>
        <v>0</v>
      </c>
      <c r="P362" s="9">
        <f ca="1">'1RA GESTION DE LA CIUDAD'!N5</f>
        <v>0</v>
      </c>
      <c r="Q362" s="9">
        <f ca="1">'1RA GESTION DE LA CIUDAD'!O5</f>
        <v>0</v>
      </c>
      <c r="R362" s="9">
        <f ca="1">'1RA GESTION DE LA CIUDAD'!P5</f>
        <v>0</v>
      </c>
      <c r="S362" s="9">
        <f ca="1">'1RA GESTION DE LA CIUDAD'!Q5</f>
        <v>0</v>
      </c>
      <c r="T362" s="9">
        <f ca="1">'1RA GESTION DE LA CIUDAD'!R5</f>
        <v>0</v>
      </c>
      <c r="U362" s="9">
        <f ca="1">'1RA GESTION DE LA CIUDAD'!S5</f>
        <v>24</v>
      </c>
    </row>
    <row r="363" spans="1:21" ht="39.75" customHeight="1">
      <c r="A363" s="30"/>
      <c r="B363" s="30"/>
      <c r="C363" s="5" t="s">
        <v>414</v>
      </c>
      <c r="D363" s="9">
        <f ca="1">'1RA GESTION DE LA CIUDAD'!B6</f>
        <v>1</v>
      </c>
      <c r="E363" s="9">
        <f>'1RA GESTION DE LA CIUDAD'!C6</f>
        <v>0</v>
      </c>
      <c r="F363" s="9" t="str">
        <f ca="1">'1RA GESTION DE LA CIUDAD'!D6</f>
        <v>ASCENDENTE</v>
      </c>
      <c r="G363" s="9" t="str">
        <f ca="1">'1RA GESTION DE LA CIUDAD'!E6</f>
        <v>BITACORA OPERATIVA</v>
      </c>
      <c r="H363" s="9">
        <f ca="1">'1RA GESTION DE LA CIUDAD'!F6</f>
        <v>0</v>
      </c>
      <c r="I363" s="9">
        <f ca="1">'1RA GESTION DE LA CIUDAD'!G6</f>
        <v>0</v>
      </c>
      <c r="J363" s="9">
        <f ca="1">'1RA GESTION DE LA CIUDAD'!H6</f>
        <v>0</v>
      </c>
      <c r="K363" s="9">
        <f ca="1">'1RA GESTION DE LA CIUDAD'!I6</f>
        <v>0</v>
      </c>
      <c r="L363" s="9">
        <f ca="1">'1RA GESTION DE LA CIUDAD'!J6</f>
        <v>6</v>
      </c>
      <c r="M363" s="9">
        <f ca="1">'1RA GESTION DE LA CIUDAD'!K6</f>
        <v>0</v>
      </c>
      <c r="N363" s="9">
        <f ca="1">'1RA GESTION DE LA CIUDAD'!L6</f>
        <v>0</v>
      </c>
      <c r="O363" s="9">
        <f ca="1">'1RA GESTION DE LA CIUDAD'!M6</f>
        <v>0</v>
      </c>
      <c r="P363" s="9">
        <f ca="1">'1RA GESTION DE LA CIUDAD'!N6</f>
        <v>0</v>
      </c>
      <c r="Q363" s="9">
        <f ca="1">'1RA GESTION DE LA CIUDAD'!O6</f>
        <v>0</v>
      </c>
      <c r="R363" s="9">
        <f ca="1">'1RA GESTION DE LA CIUDAD'!P6</f>
        <v>0</v>
      </c>
      <c r="S363" s="9">
        <f ca="1">'1RA GESTION DE LA CIUDAD'!Q6</f>
        <v>0</v>
      </c>
      <c r="T363" s="9">
        <f ca="1">'1RA GESTION DE LA CIUDAD'!R6</f>
        <v>0</v>
      </c>
      <c r="U363" s="9">
        <f ca="1">'1RA GESTION DE LA CIUDAD'!S6</f>
        <v>6</v>
      </c>
    </row>
    <row r="364" spans="1:21" ht="39.75" customHeight="1">
      <c r="A364" s="30"/>
      <c r="B364" s="31"/>
      <c r="C364" s="5" t="s">
        <v>415</v>
      </c>
      <c r="D364" s="9">
        <f ca="1">'1RA GESTION DE LA CIUDAD'!B7</f>
        <v>1</v>
      </c>
      <c r="E364" s="9">
        <f>'1RA GESTION DE LA CIUDAD'!C7</f>
        <v>0</v>
      </c>
      <c r="F364" s="9" t="str">
        <f ca="1">'1RA GESTION DE LA CIUDAD'!D7</f>
        <v>ASCENDENTE</v>
      </c>
      <c r="G364" s="9" t="str">
        <f ca="1">'1RA GESTION DE LA CIUDAD'!E7</f>
        <v>BITACORA OPERATIVA</v>
      </c>
      <c r="H364" s="9">
        <f ca="1">'1RA GESTION DE LA CIUDAD'!F7</f>
        <v>0</v>
      </c>
      <c r="I364" s="9">
        <f ca="1">'1RA GESTION DE LA CIUDAD'!G7</f>
        <v>0</v>
      </c>
      <c r="J364" s="9">
        <f ca="1">'1RA GESTION DE LA CIUDAD'!H7</f>
        <v>0</v>
      </c>
      <c r="K364" s="9">
        <f ca="1">'1RA GESTION DE LA CIUDAD'!I7</f>
        <v>0</v>
      </c>
      <c r="L364" s="9">
        <f ca="1">'1RA GESTION DE LA CIUDAD'!J7</f>
        <v>6</v>
      </c>
      <c r="M364" s="9">
        <f ca="1">'1RA GESTION DE LA CIUDAD'!K7</f>
        <v>0</v>
      </c>
      <c r="N364" s="9">
        <f ca="1">'1RA GESTION DE LA CIUDAD'!L7</f>
        <v>0</v>
      </c>
      <c r="O364" s="9">
        <f ca="1">'1RA GESTION DE LA CIUDAD'!M7</f>
        <v>0</v>
      </c>
      <c r="P364" s="9">
        <f ca="1">'1RA GESTION DE LA CIUDAD'!N7</f>
        <v>0</v>
      </c>
      <c r="Q364" s="9">
        <f ca="1">'1RA GESTION DE LA CIUDAD'!O7</f>
        <v>0</v>
      </c>
      <c r="R364" s="9">
        <f ca="1">'1RA GESTION DE LA CIUDAD'!P7</f>
        <v>0</v>
      </c>
      <c r="S364" s="9">
        <f ca="1">'1RA GESTION DE LA CIUDAD'!Q7</f>
        <v>0</v>
      </c>
      <c r="T364" s="9">
        <f ca="1">'1RA GESTION DE LA CIUDAD'!R7</f>
        <v>0</v>
      </c>
      <c r="U364" s="9">
        <f ca="1">'1RA GESTION DE LA CIUDAD'!S7</f>
        <v>6</v>
      </c>
    </row>
    <row r="365" spans="1:21" ht="39.75" customHeight="1">
      <c r="A365" s="30"/>
      <c r="B365" s="32" t="s">
        <v>416</v>
      </c>
      <c r="C365" s="5" t="s">
        <v>417</v>
      </c>
      <c r="D365" s="9">
        <f ca="1">'1RA GESTION DE LA CIUDAD'!B8</f>
        <v>1</v>
      </c>
      <c r="E365" s="9">
        <f>'1RA GESTION DE LA CIUDAD'!C8</f>
        <v>0</v>
      </c>
      <c r="F365" s="9" t="str">
        <f ca="1">'1RA GESTION DE LA CIUDAD'!D8</f>
        <v>ASCENDENTE</v>
      </c>
      <c r="G365" s="9" t="str">
        <f ca="1">'1RA GESTION DE LA CIUDAD'!E8</f>
        <v>BITACORA OPERATIVA</v>
      </c>
      <c r="H365" s="9">
        <f ca="1">'1RA GESTION DE LA CIUDAD'!F8</f>
        <v>0</v>
      </c>
      <c r="I365" s="9">
        <f ca="1">'1RA GESTION DE LA CIUDAD'!G8</f>
        <v>0</v>
      </c>
      <c r="J365" s="9">
        <f ca="1">'1RA GESTION DE LA CIUDAD'!H8</f>
        <v>0</v>
      </c>
      <c r="K365" s="9">
        <f ca="1">'1RA GESTION DE LA CIUDAD'!I8</f>
        <v>0</v>
      </c>
      <c r="L365" s="9">
        <f ca="1">'1RA GESTION DE LA CIUDAD'!J8</f>
        <v>10</v>
      </c>
      <c r="M365" s="9">
        <f ca="1">'1RA GESTION DE LA CIUDAD'!K8</f>
        <v>21</v>
      </c>
      <c r="N365" s="9">
        <f ca="1">'1RA GESTION DE LA CIUDAD'!L8</f>
        <v>12</v>
      </c>
      <c r="O365" s="9">
        <f ca="1">'1RA GESTION DE LA CIUDAD'!M8</f>
        <v>0</v>
      </c>
      <c r="P365" s="9">
        <f ca="1">'1RA GESTION DE LA CIUDAD'!N8</f>
        <v>0</v>
      </c>
      <c r="Q365" s="9">
        <f ca="1">'1RA GESTION DE LA CIUDAD'!O8</f>
        <v>0</v>
      </c>
      <c r="R365" s="9">
        <f ca="1">'1RA GESTION DE LA CIUDAD'!P8</f>
        <v>0</v>
      </c>
      <c r="S365" s="9">
        <f ca="1">'1RA GESTION DE LA CIUDAD'!Q8</f>
        <v>0</v>
      </c>
      <c r="T365" s="9">
        <f ca="1">'1RA GESTION DE LA CIUDAD'!R8</f>
        <v>0</v>
      </c>
      <c r="U365" s="9">
        <f ca="1">'1RA GESTION DE LA CIUDAD'!S8</f>
        <v>43</v>
      </c>
    </row>
    <row r="366" spans="1:21" ht="39.75" customHeight="1">
      <c r="A366" s="30"/>
      <c r="B366" s="30"/>
      <c r="C366" s="5" t="s">
        <v>418</v>
      </c>
      <c r="D366" s="9">
        <f ca="1">'1RA GESTION DE LA CIUDAD'!B9</f>
        <v>1</v>
      </c>
      <c r="E366" s="9">
        <f>'1RA GESTION DE LA CIUDAD'!C9</f>
        <v>0</v>
      </c>
      <c r="F366" s="9" t="str">
        <f ca="1">'1RA GESTION DE LA CIUDAD'!D9</f>
        <v>ASCENDENTE</v>
      </c>
      <c r="G366" s="9" t="str">
        <f ca="1">'1RA GESTION DE LA CIUDAD'!E9</f>
        <v>BITACORA OPERATIVA</v>
      </c>
      <c r="H366" s="9">
        <f ca="1">'1RA GESTION DE LA CIUDAD'!F9</f>
        <v>0</v>
      </c>
      <c r="I366" s="9">
        <f ca="1">'1RA GESTION DE LA CIUDAD'!G9</f>
        <v>0</v>
      </c>
      <c r="J366" s="9">
        <f ca="1">'1RA GESTION DE LA CIUDAD'!H9</f>
        <v>0</v>
      </c>
      <c r="K366" s="9">
        <f ca="1">'1RA GESTION DE LA CIUDAD'!I9</f>
        <v>0</v>
      </c>
      <c r="L366" s="9">
        <f ca="1">'1RA GESTION DE LA CIUDAD'!J9</f>
        <v>52</v>
      </c>
      <c r="M366" s="9">
        <f ca="1">'1RA GESTION DE LA CIUDAD'!K9</f>
        <v>37</v>
      </c>
      <c r="N366" s="9">
        <f ca="1">'1RA GESTION DE LA CIUDAD'!L9</f>
        <v>37</v>
      </c>
      <c r="O366" s="9">
        <f ca="1">'1RA GESTION DE LA CIUDAD'!M9</f>
        <v>0</v>
      </c>
      <c r="P366" s="9">
        <f ca="1">'1RA GESTION DE LA CIUDAD'!N9</f>
        <v>0</v>
      </c>
      <c r="Q366" s="9">
        <f ca="1">'1RA GESTION DE LA CIUDAD'!O9</f>
        <v>0</v>
      </c>
      <c r="R366" s="9">
        <f ca="1">'1RA GESTION DE LA CIUDAD'!P9</f>
        <v>0</v>
      </c>
      <c r="S366" s="9">
        <f ca="1">'1RA GESTION DE LA CIUDAD'!Q9</f>
        <v>0</v>
      </c>
      <c r="T366" s="9">
        <f ca="1">'1RA GESTION DE LA CIUDAD'!R9</f>
        <v>0</v>
      </c>
      <c r="U366" s="9">
        <f ca="1">'1RA GESTION DE LA CIUDAD'!S9</f>
        <v>126</v>
      </c>
    </row>
    <row r="367" spans="1:21" ht="39.75" customHeight="1">
      <c r="A367" s="30"/>
      <c r="B367" s="30"/>
      <c r="C367" s="5" t="s">
        <v>419</v>
      </c>
      <c r="D367" s="9">
        <f ca="1">'1RA GESTION DE LA CIUDAD'!B10</f>
        <v>1</v>
      </c>
      <c r="E367" s="9">
        <f>'1RA GESTION DE LA CIUDAD'!C10</f>
        <v>0</v>
      </c>
      <c r="F367" s="9" t="str">
        <f ca="1">'1RA GESTION DE LA CIUDAD'!D10</f>
        <v>ASCENDENTE</v>
      </c>
      <c r="G367" s="9" t="str">
        <f ca="1">'1RA GESTION DE LA CIUDAD'!E10</f>
        <v>BITACORA OPERATIVA</v>
      </c>
      <c r="H367" s="9">
        <f ca="1">'1RA GESTION DE LA CIUDAD'!F10</f>
        <v>0</v>
      </c>
      <c r="I367" s="9">
        <f ca="1">'1RA GESTION DE LA CIUDAD'!G10</f>
        <v>0</v>
      </c>
      <c r="J367" s="9">
        <f ca="1">'1RA GESTION DE LA CIUDAD'!H10</f>
        <v>0</v>
      </c>
      <c r="K367" s="9">
        <f ca="1">'1RA GESTION DE LA CIUDAD'!I10</f>
        <v>0</v>
      </c>
      <c r="L367" s="9">
        <f ca="1">'1RA GESTION DE LA CIUDAD'!J10</f>
        <v>47</v>
      </c>
      <c r="M367" s="9">
        <f ca="1">'1RA GESTION DE LA CIUDAD'!K10</f>
        <v>40</v>
      </c>
      <c r="N367" s="9">
        <f ca="1">'1RA GESTION DE LA CIUDAD'!L10</f>
        <v>35</v>
      </c>
      <c r="O367" s="9">
        <f ca="1">'1RA GESTION DE LA CIUDAD'!M10</f>
        <v>0</v>
      </c>
      <c r="P367" s="9">
        <f ca="1">'1RA GESTION DE LA CIUDAD'!N10</f>
        <v>0</v>
      </c>
      <c r="Q367" s="9">
        <f ca="1">'1RA GESTION DE LA CIUDAD'!O10</f>
        <v>0</v>
      </c>
      <c r="R367" s="9">
        <f ca="1">'1RA GESTION DE LA CIUDAD'!P10</f>
        <v>0</v>
      </c>
      <c r="S367" s="9">
        <f ca="1">'1RA GESTION DE LA CIUDAD'!Q10</f>
        <v>0</v>
      </c>
      <c r="T367" s="9">
        <f ca="1">'1RA GESTION DE LA CIUDAD'!R10</f>
        <v>0</v>
      </c>
      <c r="U367" s="9">
        <f ca="1">'1RA GESTION DE LA CIUDAD'!S10</f>
        <v>122</v>
      </c>
    </row>
    <row r="368" spans="1:21" ht="39.75" customHeight="1">
      <c r="A368" s="30"/>
      <c r="B368" s="31"/>
      <c r="C368" s="5" t="s">
        <v>420</v>
      </c>
      <c r="D368" s="9">
        <f ca="1">'1RA GESTION DE LA CIUDAD'!B11</f>
        <v>1</v>
      </c>
      <c r="E368" s="9">
        <f>'1RA GESTION DE LA CIUDAD'!C11</f>
        <v>0</v>
      </c>
      <c r="F368" s="9" t="str">
        <f ca="1">'1RA GESTION DE LA CIUDAD'!D11</f>
        <v>ASCENDENTE</v>
      </c>
      <c r="G368" s="9" t="str">
        <f ca="1">'1RA GESTION DE LA CIUDAD'!E11</f>
        <v>BITACORA OPERATIVA</v>
      </c>
      <c r="H368" s="9">
        <f ca="1">'1RA GESTION DE LA CIUDAD'!F11</f>
        <v>0</v>
      </c>
      <c r="I368" s="9">
        <f ca="1">'1RA GESTION DE LA CIUDAD'!G11</f>
        <v>0</v>
      </c>
      <c r="J368" s="9">
        <f ca="1">'1RA GESTION DE LA CIUDAD'!H11</f>
        <v>0</v>
      </c>
      <c r="K368" s="9">
        <f ca="1">'1RA GESTION DE LA CIUDAD'!I11</f>
        <v>0</v>
      </c>
      <c r="L368" s="9">
        <f ca="1">'1RA GESTION DE LA CIUDAD'!J11</f>
        <v>0</v>
      </c>
      <c r="M368" s="9">
        <f ca="1">'1RA GESTION DE LA CIUDAD'!K11</f>
        <v>0</v>
      </c>
      <c r="N368" s="9">
        <f ca="1">'1RA GESTION DE LA CIUDAD'!L11</f>
        <v>1</v>
      </c>
      <c r="O368" s="9">
        <f ca="1">'1RA GESTION DE LA CIUDAD'!M11</f>
        <v>0</v>
      </c>
      <c r="P368" s="9">
        <f ca="1">'1RA GESTION DE LA CIUDAD'!N11</f>
        <v>0</v>
      </c>
      <c r="Q368" s="9">
        <f ca="1">'1RA GESTION DE LA CIUDAD'!O11</f>
        <v>0</v>
      </c>
      <c r="R368" s="9">
        <f ca="1">'1RA GESTION DE LA CIUDAD'!P11</f>
        <v>0</v>
      </c>
      <c r="S368" s="9">
        <f ca="1">'1RA GESTION DE LA CIUDAD'!Q11</f>
        <v>0</v>
      </c>
      <c r="T368" s="9">
        <f ca="1">'1RA GESTION DE LA CIUDAD'!R11</f>
        <v>0</v>
      </c>
      <c r="U368" s="9">
        <f ca="1">'1RA GESTION DE LA CIUDAD'!S11</f>
        <v>1</v>
      </c>
    </row>
    <row r="369" spans="1:21" ht="39.75" customHeight="1">
      <c r="A369" s="30"/>
      <c r="B369" s="32" t="s">
        <v>421</v>
      </c>
      <c r="C369" s="5" t="s">
        <v>422</v>
      </c>
      <c r="D369" s="9">
        <f ca="1">'1RA GESTION DE LA CIUDAD'!B12</f>
        <v>1</v>
      </c>
      <c r="E369" s="9">
        <f>'1RA GESTION DE LA CIUDAD'!C12</f>
        <v>0</v>
      </c>
      <c r="F369" s="9" t="str">
        <f ca="1">'1RA GESTION DE LA CIUDAD'!D12</f>
        <v>ASCENDENTE</v>
      </c>
      <c r="G369" s="9" t="str">
        <f ca="1">'1RA GESTION DE LA CIUDAD'!E12</f>
        <v>BITACORA OPERATIVA</v>
      </c>
      <c r="H369" s="9">
        <f ca="1">'1RA GESTION DE LA CIUDAD'!F12</f>
        <v>0</v>
      </c>
      <c r="I369" s="9">
        <f ca="1">'1RA GESTION DE LA CIUDAD'!G12</f>
        <v>0</v>
      </c>
      <c r="J369" s="9">
        <f ca="1">'1RA GESTION DE LA CIUDAD'!H12</f>
        <v>0</v>
      </c>
      <c r="K369" s="9">
        <f ca="1">'1RA GESTION DE LA CIUDAD'!I12</f>
        <v>0</v>
      </c>
      <c r="L369" s="9">
        <f ca="1">'1RA GESTION DE LA CIUDAD'!J12</f>
        <v>10</v>
      </c>
      <c r="M369" s="9">
        <f ca="1">'1RA GESTION DE LA CIUDAD'!K12</f>
        <v>15</v>
      </c>
      <c r="N369" s="9">
        <f ca="1">'1RA GESTION DE LA CIUDAD'!L12</f>
        <v>12</v>
      </c>
      <c r="O369" s="9">
        <f ca="1">'1RA GESTION DE LA CIUDAD'!M12</f>
        <v>0</v>
      </c>
      <c r="P369" s="9">
        <f ca="1">'1RA GESTION DE LA CIUDAD'!N12</f>
        <v>0</v>
      </c>
      <c r="Q369" s="9">
        <f ca="1">'1RA GESTION DE LA CIUDAD'!O12</f>
        <v>0</v>
      </c>
      <c r="R369" s="9">
        <f ca="1">'1RA GESTION DE LA CIUDAD'!P12</f>
        <v>0</v>
      </c>
      <c r="S369" s="9">
        <f ca="1">'1RA GESTION DE LA CIUDAD'!Q12</f>
        <v>0</v>
      </c>
      <c r="T369" s="9">
        <f ca="1">'1RA GESTION DE LA CIUDAD'!R12</f>
        <v>0</v>
      </c>
      <c r="U369" s="9">
        <f ca="1">'1RA GESTION DE LA CIUDAD'!S12</f>
        <v>37</v>
      </c>
    </row>
    <row r="370" spans="1:21" ht="39.75" customHeight="1">
      <c r="A370" s="30"/>
      <c r="B370" s="30"/>
      <c r="C370" s="5" t="s">
        <v>423</v>
      </c>
      <c r="D370" s="9">
        <f ca="1">'1RA GESTION DE LA CIUDAD'!B13</f>
        <v>1</v>
      </c>
      <c r="E370" s="9">
        <f>'1RA GESTION DE LA CIUDAD'!C13</f>
        <v>0</v>
      </c>
      <c r="F370" s="9" t="str">
        <f ca="1">'1RA GESTION DE LA CIUDAD'!D13</f>
        <v>ASCENDENTE</v>
      </c>
      <c r="G370" s="9" t="str">
        <f ca="1">'1RA GESTION DE LA CIUDAD'!E13</f>
        <v>BITACORA OPERATIVA</v>
      </c>
      <c r="H370" s="9">
        <f ca="1">'1RA GESTION DE LA CIUDAD'!F13</f>
        <v>0</v>
      </c>
      <c r="I370" s="9">
        <f ca="1">'1RA GESTION DE LA CIUDAD'!G13</f>
        <v>0</v>
      </c>
      <c r="J370" s="9">
        <f ca="1">'1RA GESTION DE LA CIUDAD'!H13</f>
        <v>0</v>
      </c>
      <c r="K370" s="9">
        <f ca="1">'1RA GESTION DE LA CIUDAD'!I13</f>
        <v>0</v>
      </c>
      <c r="L370" s="9">
        <f ca="1">'1RA GESTION DE LA CIUDAD'!J13</f>
        <v>14</v>
      </c>
      <c r="M370" s="9">
        <f ca="1">'1RA GESTION DE LA CIUDAD'!K13</f>
        <v>18</v>
      </c>
      <c r="N370" s="9">
        <f ca="1">'1RA GESTION DE LA CIUDAD'!L13</f>
        <v>16</v>
      </c>
      <c r="O370" s="9">
        <f ca="1">'1RA GESTION DE LA CIUDAD'!M13</f>
        <v>0</v>
      </c>
      <c r="P370" s="9">
        <f ca="1">'1RA GESTION DE LA CIUDAD'!N13</f>
        <v>0</v>
      </c>
      <c r="Q370" s="9">
        <f ca="1">'1RA GESTION DE LA CIUDAD'!O13</f>
        <v>0</v>
      </c>
      <c r="R370" s="9">
        <f ca="1">'1RA GESTION DE LA CIUDAD'!P13</f>
        <v>0</v>
      </c>
      <c r="S370" s="9">
        <f ca="1">'1RA GESTION DE LA CIUDAD'!Q13</f>
        <v>0</v>
      </c>
      <c r="T370" s="9">
        <f ca="1">'1RA GESTION DE LA CIUDAD'!R13</f>
        <v>0</v>
      </c>
      <c r="U370" s="9">
        <f ca="1">'1RA GESTION DE LA CIUDAD'!S13</f>
        <v>48</v>
      </c>
    </row>
    <row r="371" spans="1:21" ht="39.75" customHeight="1">
      <c r="A371" s="30"/>
      <c r="B371" s="30"/>
      <c r="C371" s="5" t="s">
        <v>424</v>
      </c>
      <c r="D371" s="9">
        <f ca="1">'1RA GESTION DE LA CIUDAD'!B14</f>
        <v>1</v>
      </c>
      <c r="E371" s="9">
        <f>'1RA GESTION DE LA CIUDAD'!C14</f>
        <v>0</v>
      </c>
      <c r="F371" s="9" t="str">
        <f ca="1">'1RA GESTION DE LA CIUDAD'!D14</f>
        <v>ASCENDENTE</v>
      </c>
      <c r="G371" s="9" t="str">
        <f ca="1">'1RA GESTION DE LA CIUDAD'!E14</f>
        <v>BITACORA OPERATIVA</v>
      </c>
      <c r="H371" s="9">
        <f ca="1">'1RA GESTION DE LA CIUDAD'!F14</f>
        <v>0</v>
      </c>
      <c r="I371" s="9">
        <f ca="1">'1RA GESTION DE LA CIUDAD'!G14</f>
        <v>0</v>
      </c>
      <c r="J371" s="9">
        <f ca="1">'1RA GESTION DE LA CIUDAD'!H14</f>
        <v>0</v>
      </c>
      <c r="K371" s="9">
        <f ca="1">'1RA GESTION DE LA CIUDAD'!I14</f>
        <v>0</v>
      </c>
      <c r="L371" s="9">
        <f ca="1">'1RA GESTION DE LA CIUDAD'!J14</f>
        <v>2</v>
      </c>
      <c r="M371" s="9">
        <f ca="1">'1RA GESTION DE LA CIUDAD'!K14</f>
        <v>11</v>
      </c>
      <c r="N371" s="9">
        <f ca="1">'1RA GESTION DE LA CIUDAD'!L14</f>
        <v>13</v>
      </c>
      <c r="O371" s="9">
        <f ca="1">'1RA GESTION DE LA CIUDAD'!M14</f>
        <v>0</v>
      </c>
      <c r="P371" s="9">
        <f ca="1">'1RA GESTION DE LA CIUDAD'!N14</f>
        <v>0</v>
      </c>
      <c r="Q371" s="9">
        <f ca="1">'1RA GESTION DE LA CIUDAD'!O14</f>
        <v>0</v>
      </c>
      <c r="R371" s="9">
        <f ca="1">'1RA GESTION DE LA CIUDAD'!P14</f>
        <v>0</v>
      </c>
      <c r="S371" s="9">
        <f ca="1">'1RA GESTION DE LA CIUDAD'!Q14</f>
        <v>0</v>
      </c>
      <c r="T371" s="9">
        <f ca="1">'1RA GESTION DE LA CIUDAD'!R14</f>
        <v>0</v>
      </c>
      <c r="U371" s="9">
        <f ca="1">'1RA GESTION DE LA CIUDAD'!S14</f>
        <v>26</v>
      </c>
    </row>
    <row r="372" spans="1:21" ht="39.75" customHeight="1">
      <c r="A372" s="30"/>
      <c r="B372" s="30"/>
      <c r="C372" s="5" t="s">
        <v>425</v>
      </c>
      <c r="D372" s="9">
        <f ca="1">'1RA GESTION DE LA CIUDAD'!B15</f>
        <v>1</v>
      </c>
      <c r="E372" s="9">
        <f>'1RA GESTION DE LA CIUDAD'!C15</f>
        <v>0</v>
      </c>
      <c r="F372" s="9" t="str">
        <f ca="1">'1RA GESTION DE LA CIUDAD'!D15</f>
        <v>ASCENDENTE</v>
      </c>
      <c r="G372" s="9" t="str">
        <f ca="1">'1RA GESTION DE LA CIUDAD'!E15</f>
        <v>BITACORA OPERATIVA</v>
      </c>
      <c r="H372" s="9">
        <f ca="1">'1RA GESTION DE LA CIUDAD'!F15</f>
        <v>0</v>
      </c>
      <c r="I372" s="9">
        <f ca="1">'1RA GESTION DE LA CIUDAD'!G15</f>
        <v>0</v>
      </c>
      <c r="J372" s="9">
        <f ca="1">'1RA GESTION DE LA CIUDAD'!H15</f>
        <v>0</v>
      </c>
      <c r="K372" s="9">
        <f ca="1">'1RA GESTION DE LA CIUDAD'!I15</f>
        <v>0</v>
      </c>
      <c r="L372" s="9">
        <f ca="1">'1RA GESTION DE LA CIUDAD'!J15</f>
        <v>82</v>
      </c>
      <c r="M372" s="9">
        <f ca="1">'1RA GESTION DE LA CIUDAD'!K15</f>
        <v>80</v>
      </c>
      <c r="N372" s="9">
        <f ca="1">'1RA GESTION DE LA CIUDAD'!L15</f>
        <v>54</v>
      </c>
      <c r="O372" s="9">
        <f ca="1">'1RA GESTION DE LA CIUDAD'!M15</f>
        <v>0</v>
      </c>
      <c r="P372" s="9">
        <f ca="1">'1RA GESTION DE LA CIUDAD'!N15</f>
        <v>0</v>
      </c>
      <c r="Q372" s="9">
        <f ca="1">'1RA GESTION DE LA CIUDAD'!O15</f>
        <v>0</v>
      </c>
      <c r="R372" s="9">
        <f ca="1">'1RA GESTION DE LA CIUDAD'!P15</f>
        <v>0</v>
      </c>
      <c r="S372" s="9">
        <f ca="1">'1RA GESTION DE LA CIUDAD'!Q15</f>
        <v>0</v>
      </c>
      <c r="T372" s="9">
        <f ca="1">'1RA GESTION DE LA CIUDAD'!R15</f>
        <v>0</v>
      </c>
      <c r="U372" s="9">
        <f ca="1">'1RA GESTION DE LA CIUDAD'!S15</f>
        <v>216</v>
      </c>
    </row>
    <row r="373" spans="1:21" ht="39.75" customHeight="1">
      <c r="A373" s="30"/>
      <c r="B373" s="30"/>
      <c r="C373" s="5" t="s">
        <v>426</v>
      </c>
      <c r="D373" s="9">
        <f ca="1">'1RA GESTION DE LA CIUDAD'!B16</f>
        <v>1</v>
      </c>
      <c r="E373" s="9">
        <f>'1RA GESTION DE LA CIUDAD'!C16</f>
        <v>0</v>
      </c>
      <c r="F373" s="9" t="str">
        <f ca="1">'1RA GESTION DE LA CIUDAD'!D16</f>
        <v>ASCENDENTE</v>
      </c>
      <c r="G373" s="9" t="str">
        <f ca="1">'1RA GESTION DE LA CIUDAD'!E16</f>
        <v>BITACORA OPERATIVA</v>
      </c>
      <c r="H373" s="9">
        <f ca="1">'1RA GESTION DE LA CIUDAD'!F16</f>
        <v>0</v>
      </c>
      <c r="I373" s="9">
        <f ca="1">'1RA GESTION DE LA CIUDAD'!G16</f>
        <v>0</v>
      </c>
      <c r="J373" s="9">
        <f ca="1">'1RA GESTION DE LA CIUDAD'!H16</f>
        <v>0</v>
      </c>
      <c r="K373" s="9">
        <f ca="1">'1RA GESTION DE LA CIUDAD'!I16</f>
        <v>0</v>
      </c>
      <c r="L373" s="9">
        <f ca="1">'1RA GESTION DE LA CIUDAD'!J16</f>
        <v>51</v>
      </c>
      <c r="M373" s="9">
        <f ca="1">'1RA GESTION DE LA CIUDAD'!K16</f>
        <v>33</v>
      </c>
      <c r="N373" s="9">
        <f ca="1">'1RA GESTION DE LA CIUDAD'!L16</f>
        <v>33</v>
      </c>
      <c r="O373" s="9">
        <f ca="1">'1RA GESTION DE LA CIUDAD'!M16</f>
        <v>0</v>
      </c>
      <c r="P373" s="9">
        <f ca="1">'1RA GESTION DE LA CIUDAD'!N16</f>
        <v>0</v>
      </c>
      <c r="Q373" s="9">
        <f ca="1">'1RA GESTION DE LA CIUDAD'!O16</f>
        <v>0</v>
      </c>
      <c r="R373" s="9">
        <f ca="1">'1RA GESTION DE LA CIUDAD'!P16</f>
        <v>0</v>
      </c>
      <c r="S373" s="9">
        <f ca="1">'1RA GESTION DE LA CIUDAD'!Q16</f>
        <v>0</v>
      </c>
      <c r="T373" s="9">
        <f ca="1">'1RA GESTION DE LA CIUDAD'!R16</f>
        <v>0</v>
      </c>
      <c r="U373" s="9">
        <f ca="1">'1RA GESTION DE LA CIUDAD'!S16</f>
        <v>117</v>
      </c>
    </row>
    <row r="374" spans="1:21" ht="39.75" customHeight="1">
      <c r="A374" s="30"/>
      <c r="B374" s="30"/>
      <c r="C374" s="5" t="s">
        <v>427</v>
      </c>
      <c r="D374" s="9">
        <f ca="1">'1RA GESTION DE LA CIUDAD'!B17</f>
        <v>1</v>
      </c>
      <c r="E374" s="9">
        <f>'1RA GESTION DE LA CIUDAD'!C17</f>
        <v>0</v>
      </c>
      <c r="F374" s="9" t="str">
        <f ca="1">'1RA GESTION DE LA CIUDAD'!D17</f>
        <v>ASCENDENTE</v>
      </c>
      <c r="G374" s="9" t="str">
        <f ca="1">'1RA GESTION DE LA CIUDAD'!E17</f>
        <v>BITACORA OPERATIVA</v>
      </c>
      <c r="H374" s="9">
        <f ca="1">'1RA GESTION DE LA CIUDAD'!F17</f>
        <v>0</v>
      </c>
      <c r="I374" s="9">
        <f ca="1">'1RA GESTION DE LA CIUDAD'!G17</f>
        <v>0</v>
      </c>
      <c r="J374" s="9">
        <f ca="1">'1RA GESTION DE LA CIUDAD'!H17</f>
        <v>0</v>
      </c>
      <c r="K374" s="9">
        <f ca="1">'1RA GESTION DE LA CIUDAD'!I17</f>
        <v>0</v>
      </c>
      <c r="L374" s="9">
        <f ca="1">'1RA GESTION DE LA CIUDAD'!J17</f>
        <v>0</v>
      </c>
      <c r="M374" s="9">
        <f ca="1">'1RA GESTION DE LA CIUDAD'!K17</f>
        <v>0</v>
      </c>
      <c r="N374" s="9">
        <f ca="1">'1RA GESTION DE LA CIUDAD'!L17</f>
        <v>0</v>
      </c>
      <c r="O374" s="9">
        <f ca="1">'1RA GESTION DE LA CIUDAD'!M17</f>
        <v>0</v>
      </c>
      <c r="P374" s="9">
        <f ca="1">'1RA GESTION DE LA CIUDAD'!N17</f>
        <v>0</v>
      </c>
      <c r="Q374" s="9">
        <f ca="1">'1RA GESTION DE LA CIUDAD'!O17</f>
        <v>0</v>
      </c>
      <c r="R374" s="9">
        <f ca="1">'1RA GESTION DE LA CIUDAD'!P17</f>
        <v>0</v>
      </c>
      <c r="S374" s="9">
        <f ca="1">'1RA GESTION DE LA CIUDAD'!Q17</f>
        <v>0</v>
      </c>
      <c r="T374" s="9">
        <f ca="1">'1RA GESTION DE LA CIUDAD'!R17</f>
        <v>0</v>
      </c>
      <c r="U374" s="9">
        <f ca="1">'1RA GESTION DE LA CIUDAD'!S17</f>
        <v>0</v>
      </c>
    </row>
    <row r="375" spans="1:21" ht="39.75" customHeight="1">
      <c r="A375" s="30"/>
      <c r="B375" s="30"/>
      <c r="C375" s="5" t="s">
        <v>428</v>
      </c>
      <c r="D375" s="9">
        <f ca="1">'1RA GESTION DE LA CIUDAD'!B18</f>
        <v>1</v>
      </c>
      <c r="E375" s="9">
        <f>'1RA GESTION DE LA CIUDAD'!C18</f>
        <v>0</v>
      </c>
      <c r="F375" s="9" t="str">
        <f ca="1">'1RA GESTION DE LA CIUDAD'!D18</f>
        <v>ASCENDENTE</v>
      </c>
      <c r="G375" s="9" t="str">
        <f ca="1">'1RA GESTION DE LA CIUDAD'!E18</f>
        <v>BITACORA OPERATIVA</v>
      </c>
      <c r="H375" s="9">
        <f ca="1">'1RA GESTION DE LA CIUDAD'!F18</f>
        <v>0</v>
      </c>
      <c r="I375" s="9">
        <f ca="1">'1RA GESTION DE LA CIUDAD'!G18</f>
        <v>0</v>
      </c>
      <c r="J375" s="9">
        <f ca="1">'1RA GESTION DE LA CIUDAD'!H18</f>
        <v>0</v>
      </c>
      <c r="K375" s="9">
        <f ca="1">'1RA GESTION DE LA CIUDAD'!I18</f>
        <v>0</v>
      </c>
      <c r="L375" s="9">
        <f ca="1">'1RA GESTION DE LA CIUDAD'!J18</f>
        <v>0</v>
      </c>
      <c r="M375" s="9">
        <f ca="1">'1RA GESTION DE LA CIUDAD'!K18</f>
        <v>1</v>
      </c>
      <c r="N375" s="9">
        <f ca="1">'1RA GESTION DE LA CIUDAD'!L18</f>
        <v>2</v>
      </c>
      <c r="O375" s="9">
        <f ca="1">'1RA GESTION DE LA CIUDAD'!M18</f>
        <v>0</v>
      </c>
      <c r="P375" s="9">
        <f ca="1">'1RA GESTION DE LA CIUDAD'!N18</f>
        <v>0</v>
      </c>
      <c r="Q375" s="9">
        <f ca="1">'1RA GESTION DE LA CIUDAD'!O18</f>
        <v>0</v>
      </c>
      <c r="R375" s="9">
        <f ca="1">'1RA GESTION DE LA CIUDAD'!P18</f>
        <v>0</v>
      </c>
      <c r="S375" s="9">
        <f ca="1">'1RA GESTION DE LA CIUDAD'!Q18</f>
        <v>0</v>
      </c>
      <c r="T375" s="9">
        <f ca="1">'1RA GESTION DE LA CIUDAD'!R18</f>
        <v>0</v>
      </c>
      <c r="U375" s="9">
        <f ca="1">'1RA GESTION DE LA CIUDAD'!S18</f>
        <v>3</v>
      </c>
    </row>
    <row r="376" spans="1:21" ht="39.75" customHeight="1">
      <c r="A376" s="31"/>
      <c r="B376" s="31"/>
      <c r="C376" s="5" t="s">
        <v>429</v>
      </c>
      <c r="D376" s="9">
        <f ca="1">'1RA GESTION DE LA CIUDAD'!B19</f>
        <v>1</v>
      </c>
      <c r="E376" s="9">
        <f>'1RA GESTION DE LA CIUDAD'!C19</f>
        <v>0</v>
      </c>
      <c r="F376" s="9" t="str">
        <f ca="1">'1RA GESTION DE LA CIUDAD'!D19</f>
        <v>ASCENDENTE</v>
      </c>
      <c r="G376" s="9" t="str">
        <f ca="1">'1RA GESTION DE LA CIUDAD'!E19</f>
        <v>BITACORA OPERATIVA</v>
      </c>
      <c r="H376" s="9">
        <f ca="1">'1RA GESTION DE LA CIUDAD'!F19</f>
        <v>0</v>
      </c>
      <c r="I376" s="9">
        <f ca="1">'1RA GESTION DE LA CIUDAD'!G19</f>
        <v>0</v>
      </c>
      <c r="J376" s="9">
        <f ca="1">'1RA GESTION DE LA CIUDAD'!H19</f>
        <v>0</v>
      </c>
      <c r="K376" s="9">
        <f ca="1">'1RA GESTION DE LA CIUDAD'!I19</f>
        <v>0</v>
      </c>
      <c r="L376" s="9">
        <f ca="1">'1RA GESTION DE LA CIUDAD'!J19</f>
        <v>1</v>
      </c>
      <c r="M376" s="9">
        <f ca="1">'1RA GESTION DE LA CIUDAD'!K19</f>
        <v>0</v>
      </c>
      <c r="N376" s="9">
        <f ca="1">'1RA GESTION DE LA CIUDAD'!L19</f>
        <v>0</v>
      </c>
      <c r="O376" s="9">
        <f ca="1">'1RA GESTION DE LA CIUDAD'!M19</f>
        <v>0</v>
      </c>
      <c r="P376" s="9">
        <f ca="1">'1RA GESTION DE LA CIUDAD'!N19</f>
        <v>0</v>
      </c>
      <c r="Q376" s="9">
        <f ca="1">'1RA GESTION DE LA CIUDAD'!O19</f>
        <v>0</v>
      </c>
      <c r="R376" s="9">
        <f ca="1">'1RA GESTION DE LA CIUDAD'!P19</f>
        <v>0</v>
      </c>
      <c r="S376" s="9">
        <f ca="1">'1RA GESTION DE LA CIUDAD'!Q19</f>
        <v>0</v>
      </c>
      <c r="T376" s="9">
        <f ca="1">'1RA GESTION DE LA CIUDAD'!R19</f>
        <v>0</v>
      </c>
      <c r="U376" s="9">
        <f ca="1">'1RA GESTION DE LA CIUDAD'!S19</f>
        <v>1</v>
      </c>
    </row>
    <row r="377" spans="1:21" ht="39.75" customHeight="1">
      <c r="A377" s="40" t="s">
        <v>430</v>
      </c>
      <c r="B377" s="33" t="s">
        <v>431</v>
      </c>
      <c r="C377" s="9" t="s">
        <v>432</v>
      </c>
      <c r="D377" s="9">
        <f ca="1">'1RA PROTECCION CIVIL'!B2</f>
        <v>1</v>
      </c>
      <c r="E377" s="9">
        <f>'1RA PROTECCION CIVIL'!C2</f>
        <v>0</v>
      </c>
      <c r="F377" s="9" t="str">
        <f ca="1">'1RA PROTECCION CIVIL'!D2</f>
        <v>ASCENDENTE</v>
      </c>
      <c r="G377" s="9" t="str">
        <f ca="1">'1RA PROTECCION CIVIL'!E2</f>
        <v>SESIONES PUBLICAS</v>
      </c>
      <c r="H377" s="9">
        <f ca="1">'1RA PROTECCION CIVIL'!F2</f>
        <v>0</v>
      </c>
      <c r="I377" s="9">
        <f ca="1">'1RA PROTECCION CIVIL'!G2</f>
        <v>0</v>
      </c>
      <c r="J377" s="9">
        <f ca="1">'1RA PROTECCION CIVIL'!H2</f>
        <v>0</v>
      </c>
      <c r="K377" s="9">
        <f ca="1">'1RA PROTECCION CIVIL'!I2</f>
        <v>0</v>
      </c>
      <c r="L377" s="9">
        <f ca="1">'1RA PROTECCION CIVIL'!J2</f>
        <v>0</v>
      </c>
      <c r="M377" s="9">
        <f ca="1">'1RA PROTECCION CIVIL'!K2</f>
        <v>0</v>
      </c>
      <c r="N377" s="9">
        <f ca="1">'1RA PROTECCION CIVIL'!L2</f>
        <v>0</v>
      </c>
      <c r="O377" s="9">
        <f ca="1">'1RA PROTECCION CIVIL'!M2</f>
        <v>0</v>
      </c>
      <c r="P377" s="9">
        <f ca="1">'1RA PROTECCION CIVIL'!N2</f>
        <v>0</v>
      </c>
      <c r="Q377" s="9">
        <f ca="1">'1RA PROTECCION CIVIL'!O2</f>
        <v>0</v>
      </c>
      <c r="R377" s="9">
        <f ca="1">'1RA PROTECCION CIVIL'!P2</f>
        <v>0</v>
      </c>
      <c r="S377" s="9">
        <f ca="1">'1RA PROTECCION CIVIL'!Q2</f>
        <v>0</v>
      </c>
      <c r="T377" s="9">
        <f ca="1">'1RA PROTECCION CIVIL'!R2</f>
        <v>0</v>
      </c>
      <c r="U377" s="9">
        <f ca="1">'1RA PROTECCION CIVIL'!S2</f>
        <v>0</v>
      </c>
    </row>
    <row r="378" spans="1:21" ht="39.75" customHeight="1">
      <c r="A378" s="30"/>
      <c r="B378" s="30"/>
      <c r="C378" s="9" t="s">
        <v>433</v>
      </c>
      <c r="D378" s="9">
        <f ca="1">'1RA PROTECCION CIVIL'!B3</f>
        <v>1</v>
      </c>
      <c r="E378" s="9">
        <f>'1RA PROTECCION CIVIL'!C3</f>
        <v>0</v>
      </c>
      <c r="F378" s="9" t="str">
        <f ca="1">'1RA PROTECCION CIVIL'!D3</f>
        <v>ASCENDENTE</v>
      </c>
      <c r="G378" s="9" t="str">
        <f ca="1">'1RA PROTECCION CIVIL'!E3</f>
        <v>BITACORA DE ATENCION</v>
      </c>
      <c r="H378" s="9">
        <f ca="1">'1RA PROTECCION CIVIL'!F3</f>
        <v>0</v>
      </c>
      <c r="I378" s="9">
        <f ca="1">'1RA PROTECCION CIVIL'!G3</f>
        <v>0</v>
      </c>
      <c r="J378" s="9">
        <f ca="1">'1RA PROTECCION CIVIL'!H3</f>
        <v>0</v>
      </c>
      <c r="K378" s="9">
        <f ca="1">'1RA PROTECCION CIVIL'!I3</f>
        <v>0</v>
      </c>
      <c r="L378" s="9">
        <f ca="1">'1RA PROTECCION CIVIL'!J3</f>
        <v>0</v>
      </c>
      <c r="M378" s="9">
        <f ca="1">'1RA PROTECCION CIVIL'!K3</f>
        <v>0</v>
      </c>
      <c r="N378" s="9">
        <f ca="1">'1RA PROTECCION CIVIL'!L3</f>
        <v>0</v>
      </c>
      <c r="O378" s="9">
        <f ca="1">'1RA PROTECCION CIVIL'!M3</f>
        <v>0</v>
      </c>
      <c r="P378" s="9">
        <f ca="1">'1RA PROTECCION CIVIL'!N3</f>
        <v>0</v>
      </c>
      <c r="Q378" s="9">
        <f ca="1">'1RA PROTECCION CIVIL'!O3</f>
        <v>0</v>
      </c>
      <c r="R378" s="9">
        <f ca="1">'1RA PROTECCION CIVIL'!P3</f>
        <v>0</v>
      </c>
      <c r="S378" s="9">
        <f ca="1">'1RA PROTECCION CIVIL'!Q3</f>
        <v>0</v>
      </c>
      <c r="T378" s="9">
        <f ca="1">'1RA PROTECCION CIVIL'!R3</f>
        <v>0</v>
      </c>
      <c r="U378" s="9">
        <f ca="1">'1RA PROTECCION CIVIL'!S3</f>
        <v>0</v>
      </c>
    </row>
    <row r="379" spans="1:21" ht="39.75" customHeight="1">
      <c r="A379" s="30"/>
      <c r="B379" s="30"/>
      <c r="C379" s="9" t="s">
        <v>434</v>
      </c>
      <c r="D379" s="9">
        <f ca="1">'1RA PROTECCION CIVIL'!B4</f>
        <v>1</v>
      </c>
      <c r="E379" s="9">
        <f>'1RA PROTECCION CIVIL'!C4</f>
        <v>0</v>
      </c>
      <c r="F379" s="9" t="str">
        <f ca="1">'1RA PROTECCION CIVIL'!D4</f>
        <v>ASCENDENTE</v>
      </c>
      <c r="G379" s="9" t="str">
        <f ca="1">'1RA PROTECCION CIVIL'!E4</f>
        <v>BITACORA DE ATENCION</v>
      </c>
      <c r="H379" s="9">
        <f ca="1">'1RA PROTECCION CIVIL'!F4</f>
        <v>0</v>
      </c>
      <c r="I379" s="9">
        <f ca="1">'1RA PROTECCION CIVIL'!G4</f>
        <v>0</v>
      </c>
      <c r="J379" s="9">
        <f ca="1">'1RA PROTECCION CIVIL'!H4</f>
        <v>0</v>
      </c>
      <c r="K379" s="9">
        <f ca="1">'1RA PROTECCION CIVIL'!I4</f>
        <v>0</v>
      </c>
      <c r="L379" s="9">
        <f ca="1">'1RA PROTECCION CIVIL'!J4</f>
        <v>0</v>
      </c>
      <c r="M379" s="9">
        <f ca="1">'1RA PROTECCION CIVIL'!K4</f>
        <v>0</v>
      </c>
      <c r="N379" s="9">
        <f ca="1">'1RA PROTECCION CIVIL'!L4</f>
        <v>0</v>
      </c>
      <c r="O379" s="9">
        <f ca="1">'1RA PROTECCION CIVIL'!M4</f>
        <v>0</v>
      </c>
      <c r="P379" s="9">
        <f ca="1">'1RA PROTECCION CIVIL'!N4</f>
        <v>0</v>
      </c>
      <c r="Q379" s="9">
        <f ca="1">'1RA PROTECCION CIVIL'!O4</f>
        <v>0</v>
      </c>
      <c r="R379" s="9">
        <f ca="1">'1RA PROTECCION CIVIL'!P4</f>
        <v>0</v>
      </c>
      <c r="S379" s="9">
        <f ca="1">'1RA PROTECCION CIVIL'!Q4</f>
        <v>0</v>
      </c>
      <c r="T379" s="9">
        <f ca="1">'1RA PROTECCION CIVIL'!R4</f>
        <v>0</v>
      </c>
      <c r="U379" s="9">
        <f ca="1">'1RA PROTECCION CIVIL'!S4</f>
        <v>0</v>
      </c>
    </row>
    <row r="380" spans="1:21" ht="39.75" customHeight="1">
      <c r="A380" s="30"/>
      <c r="B380" s="30"/>
      <c r="C380" s="9" t="s">
        <v>435</v>
      </c>
      <c r="D380" s="9">
        <f ca="1">'1RA PROTECCION CIVIL'!B5</f>
        <v>1</v>
      </c>
      <c r="E380" s="9">
        <f>'1RA PROTECCION CIVIL'!C5</f>
        <v>0</v>
      </c>
      <c r="F380" s="9" t="str">
        <f ca="1">'1RA PROTECCION CIVIL'!D5</f>
        <v>ASCENDENTE</v>
      </c>
      <c r="G380" s="9" t="str">
        <f ca="1">'1RA PROTECCION CIVIL'!E5</f>
        <v>BITACORA OPERATIVA</v>
      </c>
      <c r="H380" s="9">
        <f ca="1">'1RA PROTECCION CIVIL'!F5</f>
        <v>0</v>
      </c>
      <c r="I380" s="9">
        <f ca="1">'1RA PROTECCION CIVIL'!G5</f>
        <v>0</v>
      </c>
      <c r="J380" s="9">
        <f ca="1">'1RA PROTECCION CIVIL'!H5</f>
        <v>0</v>
      </c>
      <c r="K380" s="9">
        <f ca="1">'1RA PROTECCION CIVIL'!I5</f>
        <v>0</v>
      </c>
      <c r="L380" s="9">
        <f ca="1">'1RA PROTECCION CIVIL'!J5</f>
        <v>0</v>
      </c>
      <c r="M380" s="9">
        <f ca="1">'1RA PROTECCION CIVIL'!K5</f>
        <v>0</v>
      </c>
      <c r="N380" s="9">
        <f ca="1">'1RA PROTECCION CIVIL'!L5</f>
        <v>0</v>
      </c>
      <c r="O380" s="9">
        <f ca="1">'1RA PROTECCION CIVIL'!M5</f>
        <v>0</v>
      </c>
      <c r="P380" s="9">
        <f ca="1">'1RA PROTECCION CIVIL'!N5</f>
        <v>0</v>
      </c>
      <c r="Q380" s="9">
        <f ca="1">'1RA PROTECCION CIVIL'!O5</f>
        <v>0</v>
      </c>
      <c r="R380" s="9">
        <f ca="1">'1RA PROTECCION CIVIL'!P5</f>
        <v>0</v>
      </c>
      <c r="S380" s="9">
        <f ca="1">'1RA PROTECCION CIVIL'!Q5</f>
        <v>0</v>
      </c>
      <c r="T380" s="9">
        <f ca="1">'1RA PROTECCION CIVIL'!R5</f>
        <v>0</v>
      </c>
      <c r="U380" s="9">
        <f ca="1">'1RA PROTECCION CIVIL'!S5</f>
        <v>0</v>
      </c>
    </row>
    <row r="381" spans="1:21" ht="39.75" customHeight="1">
      <c r="A381" s="30"/>
      <c r="B381" s="30"/>
      <c r="C381" s="9" t="s">
        <v>436</v>
      </c>
      <c r="D381" s="9">
        <f ca="1">'1RA PROTECCION CIVIL'!B6</f>
        <v>1</v>
      </c>
      <c r="E381" s="9">
        <f>'1RA PROTECCION CIVIL'!C6</f>
        <v>0</v>
      </c>
      <c r="F381" s="9" t="str">
        <f ca="1">'1RA PROTECCION CIVIL'!D6</f>
        <v>ASCENDENTE</v>
      </c>
      <c r="G381" s="9" t="str">
        <f ca="1">'1RA PROTECCION CIVIL'!E6</f>
        <v>BITACORA OPERATIVA</v>
      </c>
      <c r="H381" s="9">
        <f ca="1">'1RA PROTECCION CIVIL'!F6</f>
        <v>0</v>
      </c>
      <c r="I381" s="9">
        <f ca="1">'1RA PROTECCION CIVIL'!G6</f>
        <v>0</v>
      </c>
      <c r="J381" s="9">
        <f ca="1">'1RA PROTECCION CIVIL'!H6</f>
        <v>0</v>
      </c>
      <c r="K381" s="9">
        <f ca="1">'1RA PROTECCION CIVIL'!I6</f>
        <v>0</v>
      </c>
      <c r="L381" s="9">
        <f ca="1">'1RA PROTECCION CIVIL'!J6</f>
        <v>0</v>
      </c>
      <c r="M381" s="9">
        <f ca="1">'1RA PROTECCION CIVIL'!K6</f>
        <v>0</v>
      </c>
      <c r="N381" s="9">
        <f ca="1">'1RA PROTECCION CIVIL'!L6</f>
        <v>0</v>
      </c>
      <c r="O381" s="9">
        <f ca="1">'1RA PROTECCION CIVIL'!M6</f>
        <v>0</v>
      </c>
      <c r="P381" s="9">
        <f ca="1">'1RA PROTECCION CIVIL'!N6</f>
        <v>0</v>
      </c>
      <c r="Q381" s="9">
        <f ca="1">'1RA PROTECCION CIVIL'!O6</f>
        <v>0</v>
      </c>
      <c r="R381" s="9">
        <f ca="1">'1RA PROTECCION CIVIL'!P6</f>
        <v>0</v>
      </c>
      <c r="S381" s="9">
        <f ca="1">'1RA PROTECCION CIVIL'!Q6</f>
        <v>0</v>
      </c>
      <c r="T381" s="9">
        <f ca="1">'1RA PROTECCION CIVIL'!R6</f>
        <v>0</v>
      </c>
      <c r="U381" s="9">
        <f ca="1">'1RA PROTECCION CIVIL'!S6</f>
        <v>0</v>
      </c>
    </row>
    <row r="382" spans="1:21" ht="39.75" customHeight="1">
      <c r="A382" s="30"/>
      <c r="B382" s="30"/>
      <c r="C382" s="9"/>
      <c r="D382" s="9">
        <f ca="1">'1RA PROTECCION CIVIL'!B7</f>
        <v>1</v>
      </c>
      <c r="E382" s="9">
        <f>'1RA PROTECCION CIVIL'!C7</f>
        <v>0</v>
      </c>
      <c r="F382" s="9" t="str">
        <f ca="1">'1RA PROTECCION CIVIL'!D7</f>
        <v>ASCENDENTE</v>
      </c>
      <c r="G382" s="9" t="str">
        <f ca="1">'1RA PROTECCION CIVIL'!E7</f>
        <v>BITACORA OPERATIVA</v>
      </c>
      <c r="H382" s="9">
        <f ca="1">'1RA PROTECCION CIVIL'!F7</f>
        <v>0</v>
      </c>
      <c r="I382" s="9">
        <f ca="1">'1RA PROTECCION CIVIL'!G7</f>
        <v>0</v>
      </c>
      <c r="J382" s="9">
        <f ca="1">'1RA PROTECCION CIVIL'!H7</f>
        <v>0</v>
      </c>
      <c r="K382" s="9">
        <f ca="1">'1RA PROTECCION CIVIL'!I7</f>
        <v>0</v>
      </c>
      <c r="L382" s="9">
        <f ca="1">'1RA PROTECCION CIVIL'!J7</f>
        <v>0</v>
      </c>
      <c r="M382" s="9">
        <f ca="1">'1RA PROTECCION CIVIL'!K7</f>
        <v>0</v>
      </c>
      <c r="N382" s="9">
        <f ca="1">'1RA PROTECCION CIVIL'!L7</f>
        <v>0</v>
      </c>
      <c r="O382" s="9">
        <f ca="1">'1RA PROTECCION CIVIL'!M7</f>
        <v>0</v>
      </c>
      <c r="P382" s="9">
        <f ca="1">'1RA PROTECCION CIVIL'!N7</f>
        <v>0</v>
      </c>
      <c r="Q382" s="9">
        <f ca="1">'1RA PROTECCION CIVIL'!O7</f>
        <v>0</v>
      </c>
      <c r="R382" s="9">
        <f ca="1">'1RA PROTECCION CIVIL'!P7</f>
        <v>0</v>
      </c>
      <c r="S382" s="9">
        <f ca="1">'1RA PROTECCION CIVIL'!Q7</f>
        <v>0</v>
      </c>
      <c r="T382" s="9">
        <f ca="1">'1RA PROTECCION CIVIL'!R7</f>
        <v>0</v>
      </c>
      <c r="U382" s="9">
        <f ca="1">'1RA PROTECCION CIVIL'!S7</f>
        <v>0</v>
      </c>
    </row>
    <row r="383" spans="1:21" ht="39.75" customHeight="1">
      <c r="A383" s="30"/>
      <c r="B383" s="30"/>
      <c r="C383" s="9" t="s">
        <v>437</v>
      </c>
      <c r="D383" s="9">
        <f ca="1">'1RA PROTECCION CIVIL'!B8</f>
        <v>1</v>
      </c>
      <c r="E383" s="9">
        <f>'1RA PROTECCION CIVIL'!C8</f>
        <v>0</v>
      </c>
      <c r="F383" s="9" t="str">
        <f ca="1">'1RA PROTECCION CIVIL'!D8</f>
        <v>ASCENDENTE</v>
      </c>
      <c r="G383" s="9" t="str">
        <f ca="1">'1RA PROTECCION CIVIL'!E8</f>
        <v>BITACORA OPERATIVA</v>
      </c>
      <c r="H383" s="9">
        <f ca="1">'1RA PROTECCION CIVIL'!F8</f>
        <v>0</v>
      </c>
      <c r="I383" s="9">
        <f ca="1">'1RA PROTECCION CIVIL'!G8</f>
        <v>0</v>
      </c>
      <c r="J383" s="9">
        <f ca="1">'1RA PROTECCION CIVIL'!H8</f>
        <v>0</v>
      </c>
      <c r="K383" s="9">
        <f ca="1">'1RA PROTECCION CIVIL'!I8</f>
        <v>0</v>
      </c>
      <c r="L383" s="9">
        <f ca="1">'1RA PROTECCION CIVIL'!J8</f>
        <v>0</v>
      </c>
      <c r="M383" s="9">
        <f ca="1">'1RA PROTECCION CIVIL'!K8</f>
        <v>0</v>
      </c>
      <c r="N383" s="9">
        <f ca="1">'1RA PROTECCION CIVIL'!L8</f>
        <v>0</v>
      </c>
      <c r="O383" s="9">
        <f ca="1">'1RA PROTECCION CIVIL'!M8</f>
        <v>0</v>
      </c>
      <c r="P383" s="9">
        <f ca="1">'1RA PROTECCION CIVIL'!N8</f>
        <v>0</v>
      </c>
      <c r="Q383" s="9">
        <f ca="1">'1RA PROTECCION CIVIL'!O8</f>
        <v>0</v>
      </c>
      <c r="R383" s="9">
        <f ca="1">'1RA PROTECCION CIVIL'!P8</f>
        <v>0</v>
      </c>
      <c r="S383" s="9">
        <f ca="1">'1RA PROTECCION CIVIL'!Q8</f>
        <v>0</v>
      </c>
      <c r="T383" s="9">
        <f ca="1">'1RA PROTECCION CIVIL'!R8</f>
        <v>0</v>
      </c>
      <c r="U383" s="9">
        <f ca="1">'1RA PROTECCION CIVIL'!S8</f>
        <v>0</v>
      </c>
    </row>
    <row r="384" spans="1:21" ht="39.75" customHeight="1">
      <c r="A384" s="30"/>
      <c r="B384" s="30"/>
      <c r="C384" s="9" t="s">
        <v>438</v>
      </c>
      <c r="D384" s="9">
        <f ca="1">'1RA PROTECCION CIVIL'!B9</f>
        <v>1</v>
      </c>
      <c r="E384" s="9">
        <f>'1RA PROTECCION CIVIL'!C9</f>
        <v>0</v>
      </c>
      <c r="F384" s="9" t="str">
        <f ca="1">'1RA PROTECCION CIVIL'!D9</f>
        <v>ASCENDENTE</v>
      </c>
      <c r="G384" s="9" t="str">
        <f ca="1">'1RA PROTECCION CIVIL'!E9</f>
        <v>BITACORA OPERATIVA</v>
      </c>
      <c r="H384" s="9">
        <f ca="1">'1RA PROTECCION CIVIL'!F9</f>
        <v>0</v>
      </c>
      <c r="I384" s="9">
        <f ca="1">'1RA PROTECCION CIVIL'!G9</f>
        <v>0</v>
      </c>
      <c r="J384" s="9">
        <f ca="1">'1RA PROTECCION CIVIL'!H9</f>
        <v>0</v>
      </c>
      <c r="K384" s="9">
        <f ca="1">'1RA PROTECCION CIVIL'!I9</f>
        <v>0</v>
      </c>
      <c r="L384" s="9">
        <f ca="1">'1RA PROTECCION CIVIL'!J9</f>
        <v>0</v>
      </c>
      <c r="M384" s="9">
        <f ca="1">'1RA PROTECCION CIVIL'!K9</f>
        <v>0</v>
      </c>
      <c r="N384" s="9">
        <f ca="1">'1RA PROTECCION CIVIL'!L9</f>
        <v>0</v>
      </c>
      <c r="O384" s="9">
        <f ca="1">'1RA PROTECCION CIVIL'!M9</f>
        <v>0</v>
      </c>
      <c r="P384" s="9">
        <f ca="1">'1RA PROTECCION CIVIL'!N9</f>
        <v>0</v>
      </c>
      <c r="Q384" s="9">
        <f ca="1">'1RA PROTECCION CIVIL'!O9</f>
        <v>0</v>
      </c>
      <c r="R384" s="9">
        <f ca="1">'1RA PROTECCION CIVIL'!P9</f>
        <v>0</v>
      </c>
      <c r="S384" s="9">
        <f ca="1">'1RA PROTECCION CIVIL'!Q9</f>
        <v>0</v>
      </c>
      <c r="T384" s="9">
        <f ca="1">'1RA PROTECCION CIVIL'!R9</f>
        <v>0</v>
      </c>
      <c r="U384" s="9">
        <f ca="1">'1RA PROTECCION CIVIL'!S9</f>
        <v>0</v>
      </c>
    </row>
    <row r="385" spans="1:21" ht="39.75" customHeight="1">
      <c r="A385" s="30"/>
      <c r="B385" s="30"/>
      <c r="C385" s="9" t="s">
        <v>439</v>
      </c>
      <c r="D385" s="9">
        <f ca="1">'1RA PROTECCION CIVIL'!B10</f>
        <v>1</v>
      </c>
      <c r="E385" s="9">
        <f>'1RA PROTECCION CIVIL'!C10</f>
        <v>0</v>
      </c>
      <c r="F385" s="9" t="str">
        <f ca="1">'1RA PROTECCION CIVIL'!D10</f>
        <v>ASCENDENTE</v>
      </c>
      <c r="G385" s="9" t="str">
        <f ca="1">'1RA PROTECCION CIVIL'!E10</f>
        <v>BITACORA OPERATIVA</v>
      </c>
      <c r="H385" s="9">
        <f ca="1">'1RA PROTECCION CIVIL'!F10</f>
        <v>0</v>
      </c>
      <c r="I385" s="9">
        <f ca="1">'1RA PROTECCION CIVIL'!G10</f>
        <v>0</v>
      </c>
      <c r="J385" s="9">
        <f ca="1">'1RA PROTECCION CIVIL'!H10</f>
        <v>0</v>
      </c>
      <c r="K385" s="9">
        <f ca="1">'1RA PROTECCION CIVIL'!I10</f>
        <v>0</v>
      </c>
      <c r="L385" s="9">
        <f ca="1">'1RA PROTECCION CIVIL'!J10</f>
        <v>0</v>
      </c>
      <c r="M385" s="9">
        <f ca="1">'1RA PROTECCION CIVIL'!K10</f>
        <v>0</v>
      </c>
      <c r="N385" s="9">
        <f ca="1">'1RA PROTECCION CIVIL'!L10</f>
        <v>0</v>
      </c>
      <c r="O385" s="9">
        <f ca="1">'1RA PROTECCION CIVIL'!M10</f>
        <v>0</v>
      </c>
      <c r="P385" s="9">
        <f ca="1">'1RA PROTECCION CIVIL'!N10</f>
        <v>0</v>
      </c>
      <c r="Q385" s="9">
        <f ca="1">'1RA PROTECCION CIVIL'!O10</f>
        <v>0</v>
      </c>
      <c r="R385" s="9">
        <f ca="1">'1RA PROTECCION CIVIL'!P10</f>
        <v>0</v>
      </c>
      <c r="S385" s="9">
        <f ca="1">'1RA PROTECCION CIVIL'!Q10</f>
        <v>0</v>
      </c>
      <c r="T385" s="9">
        <f ca="1">'1RA PROTECCION CIVIL'!R10</f>
        <v>0</v>
      </c>
      <c r="U385" s="9">
        <f ca="1">'1RA PROTECCION CIVIL'!S10</f>
        <v>0</v>
      </c>
    </row>
    <row r="386" spans="1:21" ht="39.75" customHeight="1">
      <c r="A386" s="30"/>
      <c r="B386" s="30"/>
      <c r="C386" s="9" t="s">
        <v>440</v>
      </c>
      <c r="D386" s="9">
        <f ca="1">'1RA PROTECCION CIVIL'!B11</f>
        <v>1</v>
      </c>
      <c r="E386" s="9">
        <f>'1RA PROTECCION CIVIL'!C11</f>
        <v>0</v>
      </c>
      <c r="F386" s="9" t="str">
        <f ca="1">'1RA PROTECCION CIVIL'!D11</f>
        <v>ASCENDENTE</v>
      </c>
      <c r="G386" s="9" t="str">
        <f ca="1">'1RA PROTECCION CIVIL'!E11</f>
        <v>BITACORA OPERATIVA</v>
      </c>
      <c r="H386" s="9">
        <f ca="1">'1RA PROTECCION CIVIL'!F11</f>
        <v>0</v>
      </c>
      <c r="I386" s="9">
        <f ca="1">'1RA PROTECCION CIVIL'!G11</f>
        <v>0</v>
      </c>
      <c r="J386" s="9">
        <f ca="1">'1RA PROTECCION CIVIL'!H11</f>
        <v>0</v>
      </c>
      <c r="K386" s="9">
        <f ca="1">'1RA PROTECCION CIVIL'!I11</f>
        <v>0</v>
      </c>
      <c r="L386" s="9">
        <f ca="1">'1RA PROTECCION CIVIL'!J11</f>
        <v>0</v>
      </c>
      <c r="M386" s="9">
        <f ca="1">'1RA PROTECCION CIVIL'!K11</f>
        <v>0</v>
      </c>
      <c r="N386" s="9">
        <f ca="1">'1RA PROTECCION CIVIL'!L11</f>
        <v>0</v>
      </c>
      <c r="O386" s="9">
        <f ca="1">'1RA PROTECCION CIVIL'!M11</f>
        <v>0</v>
      </c>
      <c r="P386" s="9">
        <f ca="1">'1RA PROTECCION CIVIL'!N11</f>
        <v>0</v>
      </c>
      <c r="Q386" s="9">
        <f ca="1">'1RA PROTECCION CIVIL'!O11</f>
        <v>0</v>
      </c>
      <c r="R386" s="9">
        <f ca="1">'1RA PROTECCION CIVIL'!P11</f>
        <v>0</v>
      </c>
      <c r="S386" s="9">
        <f ca="1">'1RA PROTECCION CIVIL'!Q11</f>
        <v>0</v>
      </c>
      <c r="T386" s="9">
        <f ca="1">'1RA PROTECCION CIVIL'!R11</f>
        <v>0</v>
      </c>
      <c r="U386" s="9">
        <f ca="1">'1RA PROTECCION CIVIL'!S11</f>
        <v>0</v>
      </c>
    </row>
    <row r="387" spans="1:21" ht="39.75" customHeight="1">
      <c r="A387" s="30"/>
      <c r="B387" s="30"/>
      <c r="C387" s="9" t="s">
        <v>441</v>
      </c>
      <c r="D387" s="9">
        <f ca="1">'1RA PROTECCION CIVIL'!B12</f>
        <v>1</v>
      </c>
      <c r="E387" s="9">
        <f>'1RA PROTECCION CIVIL'!C12</f>
        <v>0</v>
      </c>
      <c r="F387" s="9" t="str">
        <f ca="1">'1RA PROTECCION CIVIL'!D12</f>
        <v>ASCENDENTE</v>
      </c>
      <c r="G387" s="9" t="str">
        <f ca="1">'1RA PROTECCION CIVIL'!E12</f>
        <v>BITACORA OPERATIVA</v>
      </c>
      <c r="H387" s="9">
        <f ca="1">'1RA PROTECCION CIVIL'!F12</f>
        <v>0</v>
      </c>
      <c r="I387" s="9">
        <f ca="1">'1RA PROTECCION CIVIL'!G12</f>
        <v>0</v>
      </c>
      <c r="J387" s="9">
        <f ca="1">'1RA PROTECCION CIVIL'!H12</f>
        <v>0</v>
      </c>
      <c r="K387" s="9">
        <f ca="1">'1RA PROTECCION CIVIL'!I12</f>
        <v>0</v>
      </c>
      <c r="L387" s="9">
        <f ca="1">'1RA PROTECCION CIVIL'!J12</f>
        <v>0</v>
      </c>
      <c r="M387" s="9">
        <f ca="1">'1RA PROTECCION CIVIL'!K12</f>
        <v>0</v>
      </c>
      <c r="N387" s="9">
        <f ca="1">'1RA PROTECCION CIVIL'!L12</f>
        <v>0</v>
      </c>
      <c r="O387" s="9">
        <f ca="1">'1RA PROTECCION CIVIL'!M12</f>
        <v>0</v>
      </c>
      <c r="P387" s="9">
        <f ca="1">'1RA PROTECCION CIVIL'!N12</f>
        <v>0</v>
      </c>
      <c r="Q387" s="9">
        <f ca="1">'1RA PROTECCION CIVIL'!O12</f>
        <v>0</v>
      </c>
      <c r="R387" s="9">
        <f ca="1">'1RA PROTECCION CIVIL'!P12</f>
        <v>0</v>
      </c>
      <c r="S387" s="9">
        <f ca="1">'1RA PROTECCION CIVIL'!Q12</f>
        <v>0</v>
      </c>
      <c r="T387" s="9">
        <f ca="1">'1RA PROTECCION CIVIL'!R12</f>
        <v>0</v>
      </c>
      <c r="U387" s="9">
        <f ca="1">'1RA PROTECCION CIVIL'!S12</f>
        <v>0</v>
      </c>
    </row>
    <row r="388" spans="1:21" ht="39.75" customHeight="1">
      <c r="A388" s="30"/>
      <c r="B388" s="30"/>
      <c r="C388" s="9" t="s">
        <v>442</v>
      </c>
      <c r="D388" s="9">
        <f ca="1">'1RA PROTECCION CIVIL'!B13</f>
        <v>1</v>
      </c>
      <c r="E388" s="9">
        <f>'1RA PROTECCION CIVIL'!C13</f>
        <v>0</v>
      </c>
      <c r="F388" s="9" t="str">
        <f ca="1">'1RA PROTECCION CIVIL'!D13</f>
        <v>ASCENDENTE</v>
      </c>
      <c r="G388" s="9" t="str">
        <f ca="1">'1RA PROTECCION CIVIL'!E13</f>
        <v>BITACORA OPERATIVA</v>
      </c>
      <c r="H388" s="9">
        <f ca="1">'1RA PROTECCION CIVIL'!F13</f>
        <v>0</v>
      </c>
      <c r="I388" s="9">
        <f ca="1">'1RA PROTECCION CIVIL'!G13</f>
        <v>0</v>
      </c>
      <c r="J388" s="9">
        <f ca="1">'1RA PROTECCION CIVIL'!H13</f>
        <v>0</v>
      </c>
      <c r="K388" s="9">
        <f ca="1">'1RA PROTECCION CIVIL'!I13</f>
        <v>0</v>
      </c>
      <c r="L388" s="9">
        <f ca="1">'1RA PROTECCION CIVIL'!J13</f>
        <v>0</v>
      </c>
      <c r="M388" s="9">
        <f ca="1">'1RA PROTECCION CIVIL'!K13</f>
        <v>0</v>
      </c>
      <c r="N388" s="9">
        <f ca="1">'1RA PROTECCION CIVIL'!L13</f>
        <v>0</v>
      </c>
      <c r="O388" s="9">
        <f ca="1">'1RA PROTECCION CIVIL'!M13</f>
        <v>0</v>
      </c>
      <c r="P388" s="9">
        <f ca="1">'1RA PROTECCION CIVIL'!N13</f>
        <v>0</v>
      </c>
      <c r="Q388" s="9">
        <f ca="1">'1RA PROTECCION CIVIL'!O13</f>
        <v>0</v>
      </c>
      <c r="R388" s="9">
        <f ca="1">'1RA PROTECCION CIVIL'!P13</f>
        <v>0</v>
      </c>
      <c r="S388" s="9">
        <f ca="1">'1RA PROTECCION CIVIL'!Q13</f>
        <v>0</v>
      </c>
      <c r="T388" s="9">
        <f ca="1">'1RA PROTECCION CIVIL'!R13</f>
        <v>0</v>
      </c>
      <c r="U388" s="9">
        <f ca="1">'1RA PROTECCION CIVIL'!S13</f>
        <v>0</v>
      </c>
    </row>
    <row r="389" spans="1:21" ht="39.75" customHeight="1">
      <c r="A389" s="30"/>
      <c r="B389" s="30"/>
      <c r="C389" s="9" t="s">
        <v>443</v>
      </c>
      <c r="D389" s="9">
        <f ca="1">'1RA PROTECCION CIVIL'!B14</f>
        <v>1</v>
      </c>
      <c r="E389" s="9">
        <f>'1RA PROTECCION CIVIL'!C14</f>
        <v>0</v>
      </c>
      <c r="F389" s="9" t="str">
        <f ca="1">'1RA PROTECCION CIVIL'!D14</f>
        <v>ASCENDENTE</v>
      </c>
      <c r="G389" s="9" t="str">
        <f ca="1">'1RA PROTECCION CIVIL'!E14</f>
        <v>BITACORA OPERATIVA</v>
      </c>
      <c r="H389" s="9">
        <f ca="1">'1RA PROTECCION CIVIL'!F14</f>
        <v>0</v>
      </c>
      <c r="I389" s="9">
        <f ca="1">'1RA PROTECCION CIVIL'!G14</f>
        <v>0</v>
      </c>
      <c r="J389" s="9">
        <f ca="1">'1RA PROTECCION CIVIL'!H14</f>
        <v>0</v>
      </c>
      <c r="K389" s="9">
        <f ca="1">'1RA PROTECCION CIVIL'!I14</f>
        <v>0</v>
      </c>
      <c r="L389" s="9">
        <f ca="1">'1RA PROTECCION CIVIL'!J14</f>
        <v>0</v>
      </c>
      <c r="M389" s="9">
        <f ca="1">'1RA PROTECCION CIVIL'!K14</f>
        <v>0</v>
      </c>
      <c r="N389" s="9">
        <f ca="1">'1RA PROTECCION CIVIL'!L14</f>
        <v>0</v>
      </c>
      <c r="O389" s="9">
        <f ca="1">'1RA PROTECCION CIVIL'!M14</f>
        <v>0</v>
      </c>
      <c r="P389" s="9">
        <f ca="1">'1RA PROTECCION CIVIL'!N14</f>
        <v>0</v>
      </c>
      <c r="Q389" s="9">
        <f ca="1">'1RA PROTECCION CIVIL'!O14</f>
        <v>0</v>
      </c>
      <c r="R389" s="9">
        <f ca="1">'1RA PROTECCION CIVIL'!P14</f>
        <v>0</v>
      </c>
      <c r="S389" s="9">
        <f ca="1">'1RA PROTECCION CIVIL'!Q14</f>
        <v>0</v>
      </c>
      <c r="T389" s="9">
        <f ca="1">'1RA PROTECCION CIVIL'!R14</f>
        <v>0</v>
      </c>
      <c r="U389" s="9">
        <f ca="1">'1RA PROTECCION CIVIL'!S14</f>
        <v>0</v>
      </c>
    </row>
    <row r="390" spans="1:21" ht="39.75" customHeight="1">
      <c r="A390" s="30"/>
      <c r="B390" s="30"/>
      <c r="C390" s="9" t="s">
        <v>444</v>
      </c>
      <c r="D390" s="9">
        <f ca="1">'1RA PROTECCION CIVIL'!B15</f>
        <v>1</v>
      </c>
      <c r="E390" s="9">
        <f>'1RA PROTECCION CIVIL'!C15</f>
        <v>0</v>
      </c>
      <c r="F390" s="9" t="str">
        <f ca="1">'1RA PROTECCION CIVIL'!D15</f>
        <v>ASCENDENTE</v>
      </c>
      <c r="G390" s="9" t="str">
        <f ca="1">'1RA PROTECCION CIVIL'!E15</f>
        <v>BITACORA OPERATIVA</v>
      </c>
      <c r="H390" s="9">
        <f ca="1">'1RA PROTECCION CIVIL'!F15</f>
        <v>0</v>
      </c>
      <c r="I390" s="9">
        <f ca="1">'1RA PROTECCION CIVIL'!G15</f>
        <v>0</v>
      </c>
      <c r="J390" s="9">
        <f ca="1">'1RA PROTECCION CIVIL'!H15</f>
        <v>0</v>
      </c>
      <c r="K390" s="9">
        <f ca="1">'1RA PROTECCION CIVIL'!I15</f>
        <v>0</v>
      </c>
      <c r="L390" s="9">
        <f ca="1">'1RA PROTECCION CIVIL'!J15</f>
        <v>0</v>
      </c>
      <c r="M390" s="9">
        <f ca="1">'1RA PROTECCION CIVIL'!K15</f>
        <v>0</v>
      </c>
      <c r="N390" s="9">
        <f ca="1">'1RA PROTECCION CIVIL'!L15</f>
        <v>0</v>
      </c>
      <c r="O390" s="9">
        <f ca="1">'1RA PROTECCION CIVIL'!M15</f>
        <v>0</v>
      </c>
      <c r="P390" s="9">
        <f ca="1">'1RA PROTECCION CIVIL'!N15</f>
        <v>0</v>
      </c>
      <c r="Q390" s="9">
        <f ca="1">'1RA PROTECCION CIVIL'!O15</f>
        <v>0</v>
      </c>
      <c r="R390" s="9">
        <f ca="1">'1RA PROTECCION CIVIL'!P15</f>
        <v>0</v>
      </c>
      <c r="S390" s="9">
        <f ca="1">'1RA PROTECCION CIVIL'!Q15</f>
        <v>0</v>
      </c>
      <c r="T390" s="9">
        <f ca="1">'1RA PROTECCION CIVIL'!R15</f>
        <v>0</v>
      </c>
      <c r="U390" s="9">
        <f ca="1">'1RA PROTECCION CIVIL'!S15</f>
        <v>0</v>
      </c>
    </row>
    <row r="391" spans="1:21" ht="39.75" customHeight="1">
      <c r="A391" s="30"/>
      <c r="B391" s="30"/>
      <c r="C391" s="9" t="s">
        <v>445</v>
      </c>
      <c r="D391" s="9">
        <f ca="1">'1RA PROTECCION CIVIL'!B16</f>
        <v>1</v>
      </c>
      <c r="E391" s="9">
        <f>'1RA PROTECCION CIVIL'!C16</f>
        <v>0</v>
      </c>
      <c r="F391" s="9" t="str">
        <f ca="1">'1RA PROTECCION CIVIL'!D16</f>
        <v>ASCENDENTE</v>
      </c>
      <c r="G391" s="9" t="str">
        <f ca="1">'1RA PROTECCION CIVIL'!E16</f>
        <v>BITACORA OPERATIVA</v>
      </c>
      <c r="H391" s="9">
        <f ca="1">'1RA PROTECCION CIVIL'!F16</f>
        <v>0</v>
      </c>
      <c r="I391" s="9">
        <f ca="1">'1RA PROTECCION CIVIL'!G16</f>
        <v>0</v>
      </c>
      <c r="J391" s="9">
        <f ca="1">'1RA PROTECCION CIVIL'!H16</f>
        <v>0</v>
      </c>
      <c r="K391" s="9">
        <f ca="1">'1RA PROTECCION CIVIL'!I16</f>
        <v>0</v>
      </c>
      <c r="L391" s="9">
        <f ca="1">'1RA PROTECCION CIVIL'!J16</f>
        <v>0</v>
      </c>
      <c r="M391" s="9">
        <f ca="1">'1RA PROTECCION CIVIL'!K16</f>
        <v>0</v>
      </c>
      <c r="N391" s="9">
        <f ca="1">'1RA PROTECCION CIVIL'!L16</f>
        <v>0</v>
      </c>
      <c r="O391" s="9">
        <f ca="1">'1RA PROTECCION CIVIL'!M16</f>
        <v>0</v>
      </c>
      <c r="P391" s="9">
        <f ca="1">'1RA PROTECCION CIVIL'!N16</f>
        <v>0</v>
      </c>
      <c r="Q391" s="9">
        <f ca="1">'1RA PROTECCION CIVIL'!O16</f>
        <v>0</v>
      </c>
      <c r="R391" s="9">
        <f ca="1">'1RA PROTECCION CIVIL'!P16</f>
        <v>0</v>
      </c>
      <c r="S391" s="9">
        <f ca="1">'1RA PROTECCION CIVIL'!Q16</f>
        <v>0</v>
      </c>
      <c r="T391" s="9">
        <f ca="1">'1RA PROTECCION CIVIL'!R16</f>
        <v>0</v>
      </c>
      <c r="U391" s="9">
        <f ca="1">'1RA PROTECCION CIVIL'!S16</f>
        <v>0</v>
      </c>
    </row>
    <row r="392" spans="1:21" ht="39.75" customHeight="1">
      <c r="A392" s="30"/>
      <c r="B392" s="30"/>
      <c r="C392" s="9" t="s">
        <v>446</v>
      </c>
      <c r="D392" s="9">
        <f ca="1">'1RA PROTECCION CIVIL'!B17</f>
        <v>1</v>
      </c>
      <c r="E392" s="9">
        <f>'1RA PROTECCION CIVIL'!C17</f>
        <v>0</v>
      </c>
      <c r="F392" s="9" t="str">
        <f ca="1">'1RA PROTECCION CIVIL'!D17</f>
        <v>ASCENDENTE</v>
      </c>
      <c r="G392" s="9" t="str">
        <f ca="1">'1RA PROTECCION CIVIL'!E17</f>
        <v>BITACORA OPERATIVA</v>
      </c>
      <c r="H392" s="9">
        <f ca="1">'1RA PROTECCION CIVIL'!F17</f>
        <v>0</v>
      </c>
      <c r="I392" s="9">
        <f ca="1">'1RA PROTECCION CIVIL'!G17</f>
        <v>0</v>
      </c>
      <c r="J392" s="9">
        <f ca="1">'1RA PROTECCION CIVIL'!H17</f>
        <v>0</v>
      </c>
      <c r="K392" s="9">
        <f ca="1">'1RA PROTECCION CIVIL'!I17</f>
        <v>0</v>
      </c>
      <c r="L392" s="9">
        <f ca="1">'1RA PROTECCION CIVIL'!J17</f>
        <v>0</v>
      </c>
      <c r="M392" s="9">
        <f ca="1">'1RA PROTECCION CIVIL'!K17</f>
        <v>0</v>
      </c>
      <c r="N392" s="9">
        <f ca="1">'1RA PROTECCION CIVIL'!L17</f>
        <v>0</v>
      </c>
      <c r="O392" s="9">
        <f ca="1">'1RA PROTECCION CIVIL'!M17</f>
        <v>0</v>
      </c>
      <c r="P392" s="9">
        <f ca="1">'1RA PROTECCION CIVIL'!N17</f>
        <v>0</v>
      </c>
      <c r="Q392" s="9">
        <f ca="1">'1RA PROTECCION CIVIL'!O17</f>
        <v>0</v>
      </c>
      <c r="R392" s="9">
        <f ca="1">'1RA PROTECCION CIVIL'!P17</f>
        <v>0</v>
      </c>
      <c r="S392" s="9">
        <f ca="1">'1RA PROTECCION CIVIL'!Q17</f>
        <v>0</v>
      </c>
      <c r="T392" s="9">
        <f ca="1">'1RA PROTECCION CIVIL'!R17</f>
        <v>0</v>
      </c>
      <c r="U392" s="9">
        <f ca="1">'1RA PROTECCION CIVIL'!S17</f>
        <v>0</v>
      </c>
    </row>
    <row r="393" spans="1:21" ht="39.75" customHeight="1">
      <c r="A393" s="30"/>
      <c r="B393" s="30"/>
      <c r="C393" s="9" t="s">
        <v>447</v>
      </c>
      <c r="D393" s="9">
        <f ca="1">'1RA PROTECCION CIVIL'!B18</f>
        <v>1</v>
      </c>
      <c r="E393" s="9">
        <f>'1RA PROTECCION CIVIL'!C18</f>
        <v>0</v>
      </c>
      <c r="F393" s="9" t="str">
        <f ca="1">'1RA PROTECCION CIVIL'!D18</f>
        <v>ASCENDENTE</v>
      </c>
      <c r="G393" s="9" t="str">
        <f ca="1">'1RA PROTECCION CIVIL'!E18</f>
        <v>BITACORA OPERATIVA</v>
      </c>
      <c r="H393" s="9">
        <f ca="1">'1RA PROTECCION CIVIL'!F18</f>
        <v>0</v>
      </c>
      <c r="I393" s="9">
        <f ca="1">'1RA PROTECCION CIVIL'!G18</f>
        <v>0</v>
      </c>
      <c r="J393" s="9">
        <f ca="1">'1RA PROTECCION CIVIL'!H18</f>
        <v>0</v>
      </c>
      <c r="K393" s="9">
        <f ca="1">'1RA PROTECCION CIVIL'!I18</f>
        <v>0</v>
      </c>
      <c r="L393" s="9">
        <f ca="1">'1RA PROTECCION CIVIL'!J18</f>
        <v>0</v>
      </c>
      <c r="M393" s="9">
        <f ca="1">'1RA PROTECCION CIVIL'!K18</f>
        <v>0</v>
      </c>
      <c r="N393" s="9">
        <f ca="1">'1RA PROTECCION CIVIL'!L18</f>
        <v>0</v>
      </c>
      <c r="O393" s="9">
        <f ca="1">'1RA PROTECCION CIVIL'!M18</f>
        <v>0</v>
      </c>
      <c r="P393" s="9">
        <f ca="1">'1RA PROTECCION CIVIL'!N18</f>
        <v>0</v>
      </c>
      <c r="Q393" s="9">
        <f ca="1">'1RA PROTECCION CIVIL'!O18</f>
        <v>0</v>
      </c>
      <c r="R393" s="9">
        <f ca="1">'1RA PROTECCION CIVIL'!P18</f>
        <v>0</v>
      </c>
      <c r="S393" s="9">
        <f ca="1">'1RA PROTECCION CIVIL'!Q18</f>
        <v>0</v>
      </c>
      <c r="T393" s="9">
        <f ca="1">'1RA PROTECCION CIVIL'!R18</f>
        <v>0</v>
      </c>
      <c r="U393" s="9">
        <f ca="1">'1RA PROTECCION CIVIL'!S18</f>
        <v>0</v>
      </c>
    </row>
    <row r="394" spans="1:21" ht="39.75" customHeight="1">
      <c r="A394" s="30"/>
      <c r="B394" s="30"/>
      <c r="C394" s="9" t="s">
        <v>448</v>
      </c>
      <c r="D394" s="9">
        <f ca="1">'1RA PROTECCION CIVIL'!B19</f>
        <v>1</v>
      </c>
      <c r="E394" s="9">
        <f>'1RA PROTECCION CIVIL'!C19</f>
        <v>0</v>
      </c>
      <c r="F394" s="9" t="str">
        <f ca="1">'1RA PROTECCION CIVIL'!D19</f>
        <v>ASCENDENTE</v>
      </c>
      <c r="G394" s="9" t="str">
        <f ca="1">'1RA PROTECCION CIVIL'!E19</f>
        <v>BITACORA OPERATIVA</v>
      </c>
      <c r="H394" s="9">
        <f ca="1">'1RA PROTECCION CIVIL'!F19</f>
        <v>0</v>
      </c>
      <c r="I394" s="9">
        <f ca="1">'1RA PROTECCION CIVIL'!G19</f>
        <v>0</v>
      </c>
      <c r="J394" s="9">
        <f ca="1">'1RA PROTECCION CIVIL'!H19</f>
        <v>0</v>
      </c>
      <c r="K394" s="9">
        <f ca="1">'1RA PROTECCION CIVIL'!I19</f>
        <v>0</v>
      </c>
      <c r="L394" s="9">
        <f ca="1">'1RA PROTECCION CIVIL'!J19</f>
        <v>0</v>
      </c>
      <c r="M394" s="9">
        <f ca="1">'1RA PROTECCION CIVIL'!K19</f>
        <v>0</v>
      </c>
      <c r="N394" s="9">
        <f ca="1">'1RA PROTECCION CIVIL'!L19</f>
        <v>0</v>
      </c>
      <c r="O394" s="9">
        <f ca="1">'1RA PROTECCION CIVIL'!M19</f>
        <v>0</v>
      </c>
      <c r="P394" s="9">
        <f ca="1">'1RA PROTECCION CIVIL'!N19</f>
        <v>0</v>
      </c>
      <c r="Q394" s="9">
        <f ca="1">'1RA PROTECCION CIVIL'!O19</f>
        <v>0</v>
      </c>
      <c r="R394" s="9">
        <f ca="1">'1RA PROTECCION CIVIL'!P19</f>
        <v>0</v>
      </c>
      <c r="S394" s="9">
        <f ca="1">'1RA PROTECCION CIVIL'!Q19</f>
        <v>0</v>
      </c>
      <c r="T394" s="9">
        <f ca="1">'1RA PROTECCION CIVIL'!R19</f>
        <v>0</v>
      </c>
      <c r="U394" s="9">
        <f ca="1">'1RA PROTECCION CIVIL'!S19</f>
        <v>0</v>
      </c>
    </row>
    <row r="395" spans="1:21" ht="39.75" customHeight="1">
      <c r="A395" s="30"/>
      <c r="B395" s="30"/>
      <c r="C395" s="9" t="s">
        <v>449</v>
      </c>
      <c r="D395" s="9">
        <f ca="1">'1RA PROTECCION CIVIL'!B20</f>
        <v>1</v>
      </c>
      <c r="E395" s="9">
        <f>'1RA PROTECCION CIVIL'!C20</f>
        <v>0</v>
      </c>
      <c r="F395" s="9" t="str">
        <f ca="1">'1RA PROTECCION CIVIL'!D20</f>
        <v>ASCENDENTE</v>
      </c>
      <c r="G395" s="9" t="str">
        <f ca="1">'1RA PROTECCION CIVIL'!E20</f>
        <v>BITACORA OPERATIVA</v>
      </c>
      <c r="H395" s="9">
        <f ca="1">'1RA PROTECCION CIVIL'!F20</f>
        <v>0</v>
      </c>
      <c r="I395" s="9">
        <f ca="1">'1RA PROTECCION CIVIL'!G20</f>
        <v>0</v>
      </c>
      <c r="J395" s="9">
        <f ca="1">'1RA PROTECCION CIVIL'!H20</f>
        <v>0</v>
      </c>
      <c r="K395" s="9">
        <f ca="1">'1RA PROTECCION CIVIL'!I20</f>
        <v>0</v>
      </c>
      <c r="L395" s="9">
        <f ca="1">'1RA PROTECCION CIVIL'!J20</f>
        <v>0</v>
      </c>
      <c r="M395" s="9">
        <f ca="1">'1RA PROTECCION CIVIL'!K20</f>
        <v>0</v>
      </c>
      <c r="N395" s="9">
        <f ca="1">'1RA PROTECCION CIVIL'!L20</f>
        <v>0</v>
      </c>
      <c r="O395" s="9">
        <f ca="1">'1RA PROTECCION CIVIL'!M20</f>
        <v>0</v>
      </c>
      <c r="P395" s="9">
        <f ca="1">'1RA PROTECCION CIVIL'!N20</f>
        <v>0</v>
      </c>
      <c r="Q395" s="9">
        <f ca="1">'1RA PROTECCION CIVIL'!O20</f>
        <v>0</v>
      </c>
      <c r="R395" s="9">
        <f ca="1">'1RA PROTECCION CIVIL'!P20</f>
        <v>0</v>
      </c>
      <c r="S395" s="9">
        <f ca="1">'1RA PROTECCION CIVIL'!Q20</f>
        <v>0</v>
      </c>
      <c r="T395" s="9">
        <f ca="1">'1RA PROTECCION CIVIL'!R20</f>
        <v>0</v>
      </c>
      <c r="U395" s="9">
        <f ca="1">'1RA PROTECCION CIVIL'!S20</f>
        <v>0</v>
      </c>
    </row>
    <row r="396" spans="1:21" ht="39.75" customHeight="1">
      <c r="A396" s="30"/>
      <c r="B396" s="30"/>
      <c r="C396" s="9" t="s">
        <v>450</v>
      </c>
      <c r="D396" s="9">
        <f ca="1">'1RA PROTECCION CIVIL'!B21</f>
        <v>1</v>
      </c>
      <c r="E396" s="9">
        <f>'1RA PROTECCION CIVIL'!C21</f>
        <v>0</v>
      </c>
      <c r="F396" s="9" t="str">
        <f ca="1">'1RA PROTECCION CIVIL'!D21</f>
        <v>ASCENDENTE</v>
      </c>
      <c r="G396" s="9" t="str">
        <f ca="1">'1RA PROTECCION CIVIL'!E21</f>
        <v>BITACORA OPERATIVA</v>
      </c>
      <c r="H396" s="9">
        <f ca="1">'1RA PROTECCION CIVIL'!F21</f>
        <v>0</v>
      </c>
      <c r="I396" s="9">
        <f ca="1">'1RA PROTECCION CIVIL'!G21</f>
        <v>0</v>
      </c>
      <c r="J396" s="9">
        <f ca="1">'1RA PROTECCION CIVIL'!H21</f>
        <v>0</v>
      </c>
      <c r="K396" s="9">
        <f ca="1">'1RA PROTECCION CIVIL'!I21</f>
        <v>0</v>
      </c>
      <c r="L396" s="9">
        <f ca="1">'1RA PROTECCION CIVIL'!J21</f>
        <v>0</v>
      </c>
      <c r="M396" s="9">
        <f ca="1">'1RA PROTECCION CIVIL'!K21</f>
        <v>0</v>
      </c>
      <c r="N396" s="9">
        <f ca="1">'1RA PROTECCION CIVIL'!L21</f>
        <v>0</v>
      </c>
      <c r="O396" s="9">
        <f ca="1">'1RA PROTECCION CIVIL'!M21</f>
        <v>0</v>
      </c>
      <c r="P396" s="9">
        <f ca="1">'1RA PROTECCION CIVIL'!N21</f>
        <v>0</v>
      </c>
      <c r="Q396" s="9">
        <f ca="1">'1RA PROTECCION CIVIL'!O21</f>
        <v>0</v>
      </c>
      <c r="R396" s="9">
        <f ca="1">'1RA PROTECCION CIVIL'!P21</f>
        <v>0</v>
      </c>
      <c r="S396" s="9">
        <f ca="1">'1RA PROTECCION CIVIL'!Q21</f>
        <v>0</v>
      </c>
      <c r="T396" s="9">
        <f ca="1">'1RA PROTECCION CIVIL'!R21</f>
        <v>0</v>
      </c>
      <c r="U396" s="9">
        <f ca="1">'1RA PROTECCION CIVIL'!S21</f>
        <v>0</v>
      </c>
    </row>
    <row r="397" spans="1:21" ht="39.75" customHeight="1">
      <c r="A397" s="30"/>
      <c r="B397" s="30"/>
      <c r="C397" s="9" t="s">
        <v>451</v>
      </c>
      <c r="D397" s="9">
        <f ca="1">'1RA PROTECCION CIVIL'!B22</f>
        <v>1</v>
      </c>
      <c r="E397" s="9">
        <f>'1RA PROTECCION CIVIL'!C22</f>
        <v>0</v>
      </c>
      <c r="F397" s="9" t="str">
        <f ca="1">'1RA PROTECCION CIVIL'!D22</f>
        <v>ASCENDENTE</v>
      </c>
      <c r="G397" s="9" t="str">
        <f ca="1">'1RA PROTECCION CIVIL'!E22</f>
        <v>BITACORA OPERATIVA</v>
      </c>
      <c r="H397" s="9">
        <f ca="1">'1RA PROTECCION CIVIL'!F22</f>
        <v>0</v>
      </c>
      <c r="I397" s="9">
        <f ca="1">'1RA PROTECCION CIVIL'!G22</f>
        <v>0</v>
      </c>
      <c r="J397" s="9">
        <f ca="1">'1RA PROTECCION CIVIL'!H22</f>
        <v>0</v>
      </c>
      <c r="K397" s="9">
        <f ca="1">'1RA PROTECCION CIVIL'!I22</f>
        <v>0</v>
      </c>
      <c r="L397" s="9">
        <f ca="1">'1RA PROTECCION CIVIL'!J22</f>
        <v>0</v>
      </c>
      <c r="M397" s="9">
        <f ca="1">'1RA PROTECCION CIVIL'!K22</f>
        <v>0</v>
      </c>
      <c r="N397" s="9">
        <f ca="1">'1RA PROTECCION CIVIL'!L22</f>
        <v>0</v>
      </c>
      <c r="O397" s="9">
        <f ca="1">'1RA PROTECCION CIVIL'!M22</f>
        <v>0</v>
      </c>
      <c r="P397" s="9">
        <f ca="1">'1RA PROTECCION CIVIL'!N22</f>
        <v>0</v>
      </c>
      <c r="Q397" s="9">
        <f ca="1">'1RA PROTECCION CIVIL'!O22</f>
        <v>0</v>
      </c>
      <c r="R397" s="9">
        <f ca="1">'1RA PROTECCION CIVIL'!P22</f>
        <v>0</v>
      </c>
      <c r="S397" s="9">
        <f ca="1">'1RA PROTECCION CIVIL'!Q22</f>
        <v>0</v>
      </c>
      <c r="T397" s="9">
        <f ca="1">'1RA PROTECCION CIVIL'!R22</f>
        <v>0</v>
      </c>
      <c r="U397" s="9">
        <f ca="1">'1RA PROTECCION CIVIL'!S22</f>
        <v>0</v>
      </c>
    </row>
    <row r="398" spans="1:21" ht="39.75" customHeight="1">
      <c r="A398" s="30"/>
      <c r="B398" s="30"/>
      <c r="C398" s="9" t="s">
        <v>452</v>
      </c>
      <c r="D398" s="9">
        <f ca="1">'1RA PROTECCION CIVIL'!B23</f>
        <v>1</v>
      </c>
      <c r="E398" s="9">
        <f>'1RA PROTECCION CIVIL'!C23</f>
        <v>0</v>
      </c>
      <c r="F398" s="9" t="str">
        <f ca="1">'1RA PROTECCION CIVIL'!D23</f>
        <v>ASCENDENTE</v>
      </c>
      <c r="G398" s="9" t="str">
        <f ca="1">'1RA PROTECCION CIVIL'!E23</f>
        <v>BITACORA OPERATIVA</v>
      </c>
      <c r="H398" s="9">
        <f ca="1">'1RA PROTECCION CIVIL'!F23</f>
        <v>0</v>
      </c>
      <c r="I398" s="9">
        <f ca="1">'1RA PROTECCION CIVIL'!G23</f>
        <v>0</v>
      </c>
      <c r="J398" s="9">
        <f ca="1">'1RA PROTECCION CIVIL'!H23</f>
        <v>0</v>
      </c>
      <c r="K398" s="9">
        <f ca="1">'1RA PROTECCION CIVIL'!I23</f>
        <v>0</v>
      </c>
      <c r="L398" s="9">
        <f ca="1">'1RA PROTECCION CIVIL'!J23</f>
        <v>0</v>
      </c>
      <c r="M398" s="9">
        <f ca="1">'1RA PROTECCION CIVIL'!K23</f>
        <v>0</v>
      </c>
      <c r="N398" s="9">
        <f ca="1">'1RA PROTECCION CIVIL'!L23</f>
        <v>0</v>
      </c>
      <c r="O398" s="9">
        <f ca="1">'1RA PROTECCION CIVIL'!M23</f>
        <v>0</v>
      </c>
      <c r="P398" s="9">
        <f ca="1">'1RA PROTECCION CIVIL'!N23</f>
        <v>0</v>
      </c>
      <c r="Q398" s="9">
        <f ca="1">'1RA PROTECCION CIVIL'!O23</f>
        <v>0</v>
      </c>
      <c r="R398" s="9">
        <f ca="1">'1RA PROTECCION CIVIL'!P23</f>
        <v>0</v>
      </c>
      <c r="S398" s="9">
        <f ca="1">'1RA PROTECCION CIVIL'!Q23</f>
        <v>0</v>
      </c>
      <c r="T398" s="9">
        <f ca="1">'1RA PROTECCION CIVIL'!R23</f>
        <v>0</v>
      </c>
      <c r="U398" s="9">
        <f ca="1">'1RA PROTECCION CIVIL'!S23</f>
        <v>0</v>
      </c>
    </row>
    <row r="399" spans="1:21" ht="39.75" customHeight="1">
      <c r="A399" s="30"/>
      <c r="B399" s="30"/>
      <c r="C399" s="9" t="s">
        <v>453</v>
      </c>
      <c r="D399" s="9">
        <f ca="1">'1RA PROTECCION CIVIL'!B24</f>
        <v>1</v>
      </c>
      <c r="E399" s="9">
        <f>'1RA PROTECCION CIVIL'!C24</f>
        <v>0</v>
      </c>
      <c r="F399" s="9" t="str">
        <f ca="1">'1RA PROTECCION CIVIL'!D24</f>
        <v>ASCENDENTE</v>
      </c>
      <c r="G399" s="9" t="str">
        <f ca="1">'1RA PROTECCION CIVIL'!E24</f>
        <v>BITACORA OPERATIVA</v>
      </c>
      <c r="H399" s="9">
        <f ca="1">'1RA PROTECCION CIVIL'!F24</f>
        <v>0</v>
      </c>
      <c r="I399" s="9">
        <f ca="1">'1RA PROTECCION CIVIL'!G24</f>
        <v>0</v>
      </c>
      <c r="J399" s="9">
        <f ca="1">'1RA PROTECCION CIVIL'!H24</f>
        <v>0</v>
      </c>
      <c r="K399" s="9">
        <f ca="1">'1RA PROTECCION CIVIL'!I24</f>
        <v>0</v>
      </c>
      <c r="L399" s="9">
        <f ca="1">'1RA PROTECCION CIVIL'!J24</f>
        <v>0</v>
      </c>
      <c r="M399" s="9">
        <f ca="1">'1RA PROTECCION CIVIL'!K24</f>
        <v>0</v>
      </c>
      <c r="N399" s="9">
        <f ca="1">'1RA PROTECCION CIVIL'!L24</f>
        <v>0</v>
      </c>
      <c r="O399" s="9">
        <f ca="1">'1RA PROTECCION CIVIL'!M24</f>
        <v>0</v>
      </c>
      <c r="P399" s="9">
        <f ca="1">'1RA PROTECCION CIVIL'!N24</f>
        <v>0</v>
      </c>
      <c r="Q399" s="9">
        <f ca="1">'1RA PROTECCION CIVIL'!O24</f>
        <v>0</v>
      </c>
      <c r="R399" s="9">
        <f ca="1">'1RA PROTECCION CIVIL'!P24</f>
        <v>0</v>
      </c>
      <c r="S399" s="9">
        <f ca="1">'1RA PROTECCION CIVIL'!Q24</f>
        <v>0</v>
      </c>
      <c r="T399" s="9">
        <f ca="1">'1RA PROTECCION CIVIL'!R24</f>
        <v>0</v>
      </c>
      <c r="U399" s="9">
        <f ca="1">'1RA PROTECCION CIVIL'!S24</f>
        <v>0</v>
      </c>
    </row>
    <row r="400" spans="1:21" ht="39.75" customHeight="1">
      <c r="A400" s="30"/>
      <c r="B400" s="30"/>
      <c r="C400" s="9" t="s">
        <v>454</v>
      </c>
      <c r="D400" s="9">
        <f ca="1">'1RA PROTECCION CIVIL'!B25</f>
        <v>1</v>
      </c>
      <c r="E400" s="9">
        <f>'1RA PROTECCION CIVIL'!C25</f>
        <v>0</v>
      </c>
      <c r="F400" s="9" t="str">
        <f ca="1">'1RA PROTECCION CIVIL'!D25</f>
        <v>ASCENDENTE</v>
      </c>
      <c r="G400" s="9" t="str">
        <f ca="1">'1RA PROTECCION CIVIL'!E25</f>
        <v>BITACORA OPERATIVA</v>
      </c>
      <c r="H400" s="9">
        <f ca="1">'1RA PROTECCION CIVIL'!F25</f>
        <v>0</v>
      </c>
      <c r="I400" s="9">
        <f ca="1">'1RA PROTECCION CIVIL'!G25</f>
        <v>0</v>
      </c>
      <c r="J400" s="9">
        <f ca="1">'1RA PROTECCION CIVIL'!H25</f>
        <v>0</v>
      </c>
      <c r="K400" s="9">
        <f ca="1">'1RA PROTECCION CIVIL'!I25</f>
        <v>0</v>
      </c>
      <c r="L400" s="9">
        <f ca="1">'1RA PROTECCION CIVIL'!J25</f>
        <v>0</v>
      </c>
      <c r="M400" s="9">
        <f ca="1">'1RA PROTECCION CIVIL'!K25</f>
        <v>0</v>
      </c>
      <c r="N400" s="9">
        <f ca="1">'1RA PROTECCION CIVIL'!L25</f>
        <v>0</v>
      </c>
      <c r="O400" s="9">
        <f ca="1">'1RA PROTECCION CIVIL'!M25</f>
        <v>0</v>
      </c>
      <c r="P400" s="9">
        <f ca="1">'1RA PROTECCION CIVIL'!N25</f>
        <v>0</v>
      </c>
      <c r="Q400" s="9">
        <f ca="1">'1RA PROTECCION CIVIL'!O25</f>
        <v>0</v>
      </c>
      <c r="R400" s="9">
        <f ca="1">'1RA PROTECCION CIVIL'!P25</f>
        <v>0</v>
      </c>
      <c r="S400" s="9">
        <f ca="1">'1RA PROTECCION CIVIL'!Q25</f>
        <v>0</v>
      </c>
      <c r="T400" s="9">
        <f ca="1">'1RA PROTECCION CIVIL'!R25</f>
        <v>0</v>
      </c>
      <c r="U400" s="9">
        <f ca="1">'1RA PROTECCION CIVIL'!S25</f>
        <v>0</v>
      </c>
    </row>
    <row r="401" spans="1:21" ht="39.75" customHeight="1">
      <c r="A401" s="30"/>
      <c r="B401" s="30"/>
      <c r="C401" s="9" t="s">
        <v>455</v>
      </c>
      <c r="D401" s="9">
        <f ca="1">'1RA PROTECCION CIVIL'!B26</f>
        <v>1</v>
      </c>
      <c r="E401" s="9">
        <f>'1RA PROTECCION CIVIL'!C26</f>
        <v>0</v>
      </c>
      <c r="F401" s="9" t="str">
        <f ca="1">'1RA PROTECCION CIVIL'!D26</f>
        <v>ASCENDENTE</v>
      </c>
      <c r="G401" s="9" t="str">
        <f ca="1">'1RA PROTECCION CIVIL'!E26</f>
        <v>BITACORA OPERATIVA</v>
      </c>
      <c r="H401" s="9">
        <f ca="1">'1RA PROTECCION CIVIL'!F26</f>
        <v>0</v>
      </c>
      <c r="I401" s="9">
        <f ca="1">'1RA PROTECCION CIVIL'!G26</f>
        <v>0</v>
      </c>
      <c r="J401" s="9">
        <f ca="1">'1RA PROTECCION CIVIL'!H26</f>
        <v>0</v>
      </c>
      <c r="K401" s="9">
        <f ca="1">'1RA PROTECCION CIVIL'!I26</f>
        <v>0</v>
      </c>
      <c r="L401" s="9">
        <f ca="1">'1RA PROTECCION CIVIL'!J26</f>
        <v>0</v>
      </c>
      <c r="M401" s="9">
        <f ca="1">'1RA PROTECCION CIVIL'!K26</f>
        <v>0</v>
      </c>
      <c r="N401" s="9">
        <f ca="1">'1RA PROTECCION CIVIL'!L26</f>
        <v>0</v>
      </c>
      <c r="O401" s="9">
        <f ca="1">'1RA PROTECCION CIVIL'!M26</f>
        <v>0</v>
      </c>
      <c r="P401" s="9">
        <f ca="1">'1RA PROTECCION CIVIL'!N26</f>
        <v>0</v>
      </c>
      <c r="Q401" s="9">
        <f ca="1">'1RA PROTECCION CIVIL'!O26</f>
        <v>0</v>
      </c>
      <c r="R401" s="9">
        <f ca="1">'1RA PROTECCION CIVIL'!P26</f>
        <v>0</v>
      </c>
      <c r="S401" s="9">
        <f ca="1">'1RA PROTECCION CIVIL'!Q26</f>
        <v>0</v>
      </c>
      <c r="T401" s="9">
        <f ca="1">'1RA PROTECCION CIVIL'!R26</f>
        <v>0</v>
      </c>
      <c r="U401" s="9">
        <f ca="1">'1RA PROTECCION CIVIL'!S26</f>
        <v>0</v>
      </c>
    </row>
    <row r="402" spans="1:21" ht="39.75" customHeight="1">
      <c r="A402" s="30"/>
      <c r="B402" s="30"/>
      <c r="C402" s="9" t="s">
        <v>456</v>
      </c>
      <c r="D402" s="9">
        <f ca="1">'1RA PROTECCION CIVIL'!B27</f>
        <v>1</v>
      </c>
      <c r="E402" s="9">
        <f>'1RA PROTECCION CIVIL'!C27</f>
        <v>0</v>
      </c>
      <c r="F402" s="9" t="str">
        <f ca="1">'1RA PROTECCION CIVIL'!D27</f>
        <v>ASCENDENTE</v>
      </c>
      <c r="G402" s="9" t="str">
        <f ca="1">'1RA PROTECCION CIVIL'!E27</f>
        <v>BITACORA OPERATIVA</v>
      </c>
      <c r="H402" s="9">
        <f ca="1">'1RA PROTECCION CIVIL'!F27</f>
        <v>0</v>
      </c>
      <c r="I402" s="9">
        <f ca="1">'1RA PROTECCION CIVIL'!G27</f>
        <v>0</v>
      </c>
      <c r="J402" s="9">
        <f ca="1">'1RA PROTECCION CIVIL'!H27</f>
        <v>0</v>
      </c>
      <c r="K402" s="9">
        <f ca="1">'1RA PROTECCION CIVIL'!I27</f>
        <v>0</v>
      </c>
      <c r="L402" s="9">
        <f ca="1">'1RA PROTECCION CIVIL'!J27</f>
        <v>0</v>
      </c>
      <c r="M402" s="9">
        <f ca="1">'1RA PROTECCION CIVIL'!K27</f>
        <v>0</v>
      </c>
      <c r="N402" s="9">
        <f ca="1">'1RA PROTECCION CIVIL'!L27</f>
        <v>0</v>
      </c>
      <c r="O402" s="9">
        <f ca="1">'1RA PROTECCION CIVIL'!M27</f>
        <v>0</v>
      </c>
      <c r="P402" s="9">
        <f ca="1">'1RA PROTECCION CIVIL'!N27</f>
        <v>0</v>
      </c>
      <c r="Q402" s="9">
        <f ca="1">'1RA PROTECCION CIVIL'!O27</f>
        <v>0</v>
      </c>
      <c r="R402" s="9">
        <f ca="1">'1RA PROTECCION CIVIL'!P27</f>
        <v>0</v>
      </c>
      <c r="S402" s="9">
        <f ca="1">'1RA PROTECCION CIVIL'!Q27</f>
        <v>0</v>
      </c>
      <c r="T402" s="9">
        <f ca="1">'1RA PROTECCION CIVIL'!R27</f>
        <v>0</v>
      </c>
      <c r="U402" s="9">
        <f ca="1">'1RA PROTECCION CIVIL'!S27</f>
        <v>0</v>
      </c>
    </row>
    <row r="403" spans="1:21" ht="39.75" customHeight="1">
      <c r="A403" s="30"/>
      <c r="B403" s="30"/>
      <c r="C403" s="9" t="s">
        <v>457</v>
      </c>
      <c r="D403" s="9">
        <f ca="1">'1RA PROTECCION CIVIL'!B28</f>
        <v>1</v>
      </c>
      <c r="E403" s="9">
        <f>'1RA PROTECCION CIVIL'!C28</f>
        <v>0</v>
      </c>
      <c r="F403" s="9" t="str">
        <f ca="1">'1RA PROTECCION CIVIL'!D28</f>
        <v>ASCENDENTE</v>
      </c>
      <c r="G403" s="9" t="str">
        <f ca="1">'1RA PROTECCION CIVIL'!E28</f>
        <v>BITACORA OPERATIVA</v>
      </c>
      <c r="H403" s="9">
        <f ca="1">'1RA PROTECCION CIVIL'!F28</f>
        <v>0</v>
      </c>
      <c r="I403" s="9">
        <f ca="1">'1RA PROTECCION CIVIL'!G28</f>
        <v>0</v>
      </c>
      <c r="J403" s="9">
        <f ca="1">'1RA PROTECCION CIVIL'!H28</f>
        <v>0</v>
      </c>
      <c r="K403" s="9">
        <f ca="1">'1RA PROTECCION CIVIL'!I28</f>
        <v>0</v>
      </c>
      <c r="L403" s="9">
        <f ca="1">'1RA PROTECCION CIVIL'!J28</f>
        <v>0</v>
      </c>
      <c r="M403" s="9">
        <f ca="1">'1RA PROTECCION CIVIL'!K28</f>
        <v>0</v>
      </c>
      <c r="N403" s="9">
        <f ca="1">'1RA PROTECCION CIVIL'!L28</f>
        <v>0</v>
      </c>
      <c r="O403" s="9">
        <f ca="1">'1RA PROTECCION CIVIL'!M28</f>
        <v>0</v>
      </c>
      <c r="P403" s="9">
        <f ca="1">'1RA PROTECCION CIVIL'!N28</f>
        <v>0</v>
      </c>
      <c r="Q403" s="9">
        <f ca="1">'1RA PROTECCION CIVIL'!O28</f>
        <v>0</v>
      </c>
      <c r="R403" s="9">
        <f ca="1">'1RA PROTECCION CIVIL'!P28</f>
        <v>0</v>
      </c>
      <c r="S403" s="9">
        <f ca="1">'1RA PROTECCION CIVIL'!Q28</f>
        <v>0</v>
      </c>
      <c r="T403" s="9">
        <f ca="1">'1RA PROTECCION CIVIL'!R28</f>
        <v>0</v>
      </c>
      <c r="U403" s="9">
        <f ca="1">'1RA PROTECCION CIVIL'!S28</f>
        <v>0</v>
      </c>
    </row>
    <row r="404" spans="1:21" ht="39.75" customHeight="1">
      <c r="A404" s="30"/>
      <c r="B404" s="30"/>
      <c r="C404" s="9" t="s">
        <v>458</v>
      </c>
      <c r="D404" s="9">
        <f ca="1">'1RA PROTECCION CIVIL'!B29</f>
        <v>1</v>
      </c>
      <c r="E404" s="9">
        <f>'1RA PROTECCION CIVIL'!C29</f>
        <v>0</v>
      </c>
      <c r="F404" s="9" t="str">
        <f ca="1">'1RA PROTECCION CIVIL'!D29</f>
        <v>ASCENDENTE</v>
      </c>
      <c r="G404" s="9" t="str">
        <f ca="1">'1RA PROTECCION CIVIL'!E29</f>
        <v>BITACORA OPERATIVA</v>
      </c>
      <c r="H404" s="9">
        <f ca="1">'1RA PROTECCION CIVIL'!F29</f>
        <v>0</v>
      </c>
      <c r="I404" s="9">
        <f ca="1">'1RA PROTECCION CIVIL'!G29</f>
        <v>0</v>
      </c>
      <c r="J404" s="9">
        <f ca="1">'1RA PROTECCION CIVIL'!H29</f>
        <v>0</v>
      </c>
      <c r="K404" s="9">
        <f ca="1">'1RA PROTECCION CIVIL'!I29</f>
        <v>0</v>
      </c>
      <c r="L404" s="9">
        <f ca="1">'1RA PROTECCION CIVIL'!J29</f>
        <v>0</v>
      </c>
      <c r="M404" s="9">
        <f ca="1">'1RA PROTECCION CIVIL'!K29</f>
        <v>0</v>
      </c>
      <c r="N404" s="9">
        <f ca="1">'1RA PROTECCION CIVIL'!L29</f>
        <v>0</v>
      </c>
      <c r="O404" s="9">
        <f ca="1">'1RA PROTECCION CIVIL'!M29</f>
        <v>0</v>
      </c>
      <c r="P404" s="9">
        <f ca="1">'1RA PROTECCION CIVIL'!N29</f>
        <v>0</v>
      </c>
      <c r="Q404" s="9">
        <f ca="1">'1RA PROTECCION CIVIL'!O29</f>
        <v>0</v>
      </c>
      <c r="R404" s="9">
        <f ca="1">'1RA PROTECCION CIVIL'!P29</f>
        <v>0</v>
      </c>
      <c r="S404" s="9">
        <f ca="1">'1RA PROTECCION CIVIL'!Q29</f>
        <v>0</v>
      </c>
      <c r="T404" s="9">
        <f ca="1">'1RA PROTECCION CIVIL'!R29</f>
        <v>0</v>
      </c>
      <c r="U404" s="9">
        <f ca="1">'1RA PROTECCION CIVIL'!S29</f>
        <v>0</v>
      </c>
    </row>
    <row r="405" spans="1:21" ht="39.75" customHeight="1">
      <c r="A405" s="30"/>
      <c r="B405" s="30"/>
      <c r="C405" s="9" t="s">
        <v>459</v>
      </c>
      <c r="D405" s="9">
        <f ca="1">'1RA PROTECCION CIVIL'!B30</f>
        <v>1</v>
      </c>
      <c r="E405" s="9">
        <f>'1RA PROTECCION CIVIL'!C30</f>
        <v>0</v>
      </c>
      <c r="F405" s="9" t="str">
        <f ca="1">'1RA PROTECCION CIVIL'!D30</f>
        <v>ASCENDENTE</v>
      </c>
      <c r="G405" s="9" t="str">
        <f ca="1">'1RA PROTECCION CIVIL'!E30</f>
        <v>BITACORA OPERATIVA</v>
      </c>
      <c r="H405" s="9">
        <f ca="1">'1RA PROTECCION CIVIL'!F30</f>
        <v>0</v>
      </c>
      <c r="I405" s="9">
        <f ca="1">'1RA PROTECCION CIVIL'!G30</f>
        <v>0</v>
      </c>
      <c r="J405" s="9">
        <f ca="1">'1RA PROTECCION CIVIL'!H30</f>
        <v>0</v>
      </c>
      <c r="K405" s="9">
        <f ca="1">'1RA PROTECCION CIVIL'!I30</f>
        <v>0</v>
      </c>
      <c r="L405" s="9">
        <f ca="1">'1RA PROTECCION CIVIL'!J30</f>
        <v>0</v>
      </c>
      <c r="M405" s="9">
        <f ca="1">'1RA PROTECCION CIVIL'!K30</f>
        <v>0</v>
      </c>
      <c r="N405" s="9">
        <f ca="1">'1RA PROTECCION CIVIL'!L30</f>
        <v>0</v>
      </c>
      <c r="O405" s="9">
        <f ca="1">'1RA PROTECCION CIVIL'!M30</f>
        <v>0</v>
      </c>
      <c r="P405" s="9">
        <f ca="1">'1RA PROTECCION CIVIL'!N30</f>
        <v>0</v>
      </c>
      <c r="Q405" s="9">
        <f ca="1">'1RA PROTECCION CIVIL'!O30</f>
        <v>0</v>
      </c>
      <c r="R405" s="9">
        <f ca="1">'1RA PROTECCION CIVIL'!P30</f>
        <v>0</v>
      </c>
      <c r="S405" s="9">
        <f ca="1">'1RA PROTECCION CIVIL'!Q30</f>
        <v>0</v>
      </c>
      <c r="T405" s="9">
        <f ca="1">'1RA PROTECCION CIVIL'!R30</f>
        <v>0</v>
      </c>
      <c r="U405" s="9">
        <f ca="1">'1RA PROTECCION CIVIL'!S30</f>
        <v>0</v>
      </c>
    </row>
    <row r="406" spans="1:21" ht="39.75" customHeight="1" thickTop="1" thickBot="1">
      <c r="A406" s="30"/>
      <c r="B406" s="30"/>
      <c r="C406" s="9" t="s">
        <v>460</v>
      </c>
      <c r="D406" s="9">
        <f ca="1">'1RA PROTECCION CIVIL'!B31</f>
        <v>1</v>
      </c>
      <c r="E406" s="9">
        <f>'1RA PROTECCION CIVIL'!C31</f>
        <v>0</v>
      </c>
      <c r="F406" s="9" t="str">
        <f ca="1">'1RA PROTECCION CIVIL'!D31</f>
        <v>ASCENDENTE</v>
      </c>
      <c r="G406" s="9" t="str">
        <f ca="1">'1RA PROTECCION CIVIL'!E31</f>
        <v>BITACORA OPERATIVA</v>
      </c>
      <c r="H406" s="9">
        <f ca="1">'1RA PROTECCION CIVIL'!F31</f>
        <v>0</v>
      </c>
      <c r="I406" s="9">
        <f ca="1">'1RA PROTECCION CIVIL'!G31</f>
        <v>0</v>
      </c>
      <c r="J406" s="9">
        <f ca="1">'1RA PROTECCION CIVIL'!H31</f>
        <v>0</v>
      </c>
      <c r="K406" s="9">
        <f ca="1">'1RA PROTECCION CIVIL'!I31</f>
        <v>0</v>
      </c>
      <c r="L406" s="9">
        <f ca="1">'1RA PROTECCION CIVIL'!J31</f>
        <v>0</v>
      </c>
      <c r="M406" s="9">
        <f ca="1">'1RA PROTECCION CIVIL'!K31</f>
        <v>0</v>
      </c>
      <c r="N406" s="9">
        <f ca="1">'1RA PROTECCION CIVIL'!L31</f>
        <v>0</v>
      </c>
      <c r="O406" s="9">
        <f ca="1">'1RA PROTECCION CIVIL'!M31</f>
        <v>0</v>
      </c>
      <c r="P406" s="9">
        <f ca="1">'1RA PROTECCION CIVIL'!N31</f>
        <v>0</v>
      </c>
      <c r="Q406" s="9">
        <f ca="1">'1RA PROTECCION CIVIL'!O31</f>
        <v>0</v>
      </c>
      <c r="R406" s="9">
        <f ca="1">'1RA PROTECCION CIVIL'!P31</f>
        <v>0</v>
      </c>
      <c r="S406" s="9">
        <f ca="1">'1RA PROTECCION CIVIL'!Q31</f>
        <v>0</v>
      </c>
      <c r="T406" s="9">
        <f ca="1">'1RA PROTECCION CIVIL'!R31</f>
        <v>0</v>
      </c>
      <c r="U406" s="9">
        <f ca="1">'1RA PROTECCION CIVIL'!S31</f>
        <v>0</v>
      </c>
    </row>
    <row r="407" spans="1:21" ht="39.75" hidden="1" customHeight="1">
      <c r="A407" s="31"/>
      <c r="B407" s="31"/>
      <c r="C407" s="9" t="s">
        <v>461</v>
      </c>
      <c r="D407" s="9">
        <f>'1RA PROTECCION CIVIL'!B32</f>
        <v>0</v>
      </c>
      <c r="E407" s="9">
        <f>'1RA PROTECCION CIVIL'!C32</f>
        <v>0</v>
      </c>
      <c r="F407" s="9">
        <f>'1RA PROTECCION CIVIL'!D32</f>
        <v>0</v>
      </c>
      <c r="G407" s="9">
        <f>'1RA PROTECCION CIVIL'!E32</f>
        <v>0</v>
      </c>
      <c r="H407" s="9">
        <f>'1RA PROTECCION CIVIL'!F32</f>
        <v>0</v>
      </c>
      <c r="I407" s="9">
        <f>'1RA PROTECCION CIVIL'!G32</f>
        <v>0</v>
      </c>
      <c r="J407" s="9">
        <f>'1RA PROTECCION CIVIL'!H32</f>
        <v>0</v>
      </c>
      <c r="K407" s="9">
        <f>'1RA PROTECCION CIVIL'!I32</f>
        <v>0</v>
      </c>
      <c r="L407" s="9">
        <f>'1RA PROTECCION CIVIL'!J32</f>
        <v>0</v>
      </c>
      <c r="M407" s="9">
        <f>'1RA PROTECCION CIVIL'!K32</f>
        <v>0</v>
      </c>
      <c r="N407" s="9">
        <f>'1RA PROTECCION CIVIL'!L32</f>
        <v>0</v>
      </c>
      <c r="O407" s="9">
        <f>'1RA PROTECCION CIVIL'!M32</f>
        <v>0</v>
      </c>
      <c r="P407" s="9">
        <f>'1RA PROTECCION CIVIL'!N32</f>
        <v>0</v>
      </c>
      <c r="Q407" s="9">
        <f>'1RA PROTECCION CIVIL'!O32</f>
        <v>0</v>
      </c>
      <c r="R407" s="9">
        <f>'1RA PROTECCION CIVIL'!P32</f>
        <v>0</v>
      </c>
      <c r="S407" s="9">
        <f>'1RA PROTECCION CIVIL'!Q32</f>
        <v>0</v>
      </c>
      <c r="T407" s="9">
        <f>'1RA PROTECCION CIVIL'!R32</f>
        <v>0</v>
      </c>
      <c r="U407" s="9">
        <f>'1RA PROTECCION CIVIL'!S32</f>
        <v>0</v>
      </c>
    </row>
    <row r="408" spans="1:21" ht="15" customHeight="1" thickTop="1"/>
  </sheetData>
  <mergeCells count="71">
    <mergeCell ref="B223:B224"/>
    <mergeCell ref="B225:B226"/>
    <mergeCell ref="B227:B228"/>
    <mergeCell ref="A359:A376"/>
    <mergeCell ref="A377:A407"/>
    <mergeCell ref="B233:B234"/>
    <mergeCell ref="B235:B258"/>
    <mergeCell ref="A321:A358"/>
    <mergeCell ref="B321:B354"/>
    <mergeCell ref="B355:B358"/>
    <mergeCell ref="B359:B361"/>
    <mergeCell ref="B369:B376"/>
    <mergeCell ref="B287:B297"/>
    <mergeCell ref="B298:B315"/>
    <mergeCell ref="B316:B320"/>
    <mergeCell ref="B362:B364"/>
    <mergeCell ref="B365:B368"/>
    <mergeCell ref="B377:B407"/>
    <mergeCell ref="A1:H1"/>
    <mergeCell ref="I1:O1"/>
    <mergeCell ref="P1:U1"/>
    <mergeCell ref="A3:A13"/>
    <mergeCell ref="B3:B4"/>
    <mergeCell ref="B5:B6"/>
    <mergeCell ref="B7:B8"/>
    <mergeCell ref="B9:B11"/>
    <mergeCell ref="B12:B13"/>
    <mergeCell ref="A37:A52"/>
    <mergeCell ref="A53:A77"/>
    <mergeCell ref="B37:B41"/>
    <mergeCell ref="B42:B44"/>
    <mergeCell ref="B45:B49"/>
    <mergeCell ref="B50:B52"/>
    <mergeCell ref="B53:B56"/>
    <mergeCell ref="B57:B62"/>
    <mergeCell ref="B63:B66"/>
    <mergeCell ref="B68:B77"/>
    <mergeCell ref="A78:A95"/>
    <mergeCell ref="A96:A188"/>
    <mergeCell ref="A189:A205"/>
    <mergeCell ref="A206:A234"/>
    <mergeCell ref="A235:A320"/>
    <mergeCell ref="A14:A21"/>
    <mergeCell ref="B14:B15"/>
    <mergeCell ref="B17:B18"/>
    <mergeCell ref="B19:B21"/>
    <mergeCell ref="B30:B36"/>
    <mergeCell ref="B22:B24"/>
    <mergeCell ref="B25:B29"/>
    <mergeCell ref="A22:A36"/>
    <mergeCell ref="B78:B85"/>
    <mergeCell ref="B86:B90"/>
    <mergeCell ref="B91:B95"/>
    <mergeCell ref="B96:B99"/>
    <mergeCell ref="B100:B118"/>
    <mergeCell ref="B119:B130"/>
    <mergeCell ref="B259:B264"/>
    <mergeCell ref="B265:B275"/>
    <mergeCell ref="B276:B283"/>
    <mergeCell ref="B284:B286"/>
    <mergeCell ref="B131:B150"/>
    <mergeCell ref="B151:B188"/>
    <mergeCell ref="B189:B196"/>
    <mergeCell ref="B198:B205"/>
    <mergeCell ref="B206:B207"/>
    <mergeCell ref="B208:B210"/>
    <mergeCell ref="B211:B218"/>
    <mergeCell ref="B229:B230"/>
    <mergeCell ref="B231:B232"/>
    <mergeCell ref="B219:B220"/>
    <mergeCell ref="B221:B222"/>
  </mergeCells>
  <pageMargins left="0.25" right="0.25" top="0.75" bottom="0.75" header="0" footer="0"/>
  <pageSetup paperSize="5" scale="53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A140"/>
  <sheetViews>
    <sheetView workbookViewId="0"/>
  </sheetViews>
  <sheetFormatPr baseColWidth="10" defaultColWidth="11.1640625" defaultRowHeight="15" customHeight="1"/>
  <sheetData>
    <row r="1" spans="1:1">
      <c r="A1" s="23">
        <v>100</v>
      </c>
    </row>
    <row r="2" spans="1:1">
      <c r="A2" s="23">
        <v>100</v>
      </c>
    </row>
    <row r="3" spans="1:1">
      <c r="A3" s="23">
        <v>100</v>
      </c>
    </row>
    <row r="4" spans="1:1">
      <c r="A4" s="23">
        <v>100</v>
      </c>
    </row>
    <row r="5" spans="1:1">
      <c r="A5" s="23">
        <v>100</v>
      </c>
    </row>
    <row r="6" spans="1:1">
      <c r="A6" s="23">
        <v>100</v>
      </c>
    </row>
    <row r="7" spans="1:1">
      <c r="A7" s="23">
        <v>100</v>
      </c>
    </row>
    <row r="8" spans="1:1">
      <c r="A8" s="23">
        <v>100</v>
      </c>
    </row>
    <row r="9" spans="1:1">
      <c r="A9" s="23">
        <v>100</v>
      </c>
    </row>
    <row r="10" spans="1:1">
      <c r="A10" s="23">
        <v>100</v>
      </c>
    </row>
    <row r="11" spans="1:1">
      <c r="A11" s="23">
        <v>100</v>
      </c>
    </row>
    <row r="12" spans="1:1">
      <c r="A12" s="23">
        <v>100</v>
      </c>
    </row>
    <row r="13" spans="1:1">
      <c r="A13" s="23">
        <v>100</v>
      </c>
    </row>
    <row r="14" spans="1:1">
      <c r="A14" s="23">
        <v>100</v>
      </c>
    </row>
    <row r="15" spans="1:1">
      <c r="A15" s="23">
        <v>100</v>
      </c>
    </row>
    <row r="16" spans="1:1">
      <c r="A16" s="23">
        <v>100</v>
      </c>
    </row>
    <row r="17" spans="1:1">
      <c r="A17" s="23">
        <v>100</v>
      </c>
    </row>
    <row r="18" spans="1:1">
      <c r="A18" s="23">
        <v>100</v>
      </c>
    </row>
    <row r="19" spans="1:1">
      <c r="A19" s="23">
        <v>100</v>
      </c>
    </row>
    <row r="20" spans="1:1">
      <c r="A20" s="23">
        <v>100</v>
      </c>
    </row>
    <row r="21" spans="1:1">
      <c r="A21" s="23">
        <v>100</v>
      </c>
    </row>
    <row r="22" spans="1:1">
      <c r="A22" s="23">
        <v>100</v>
      </c>
    </row>
    <row r="23" spans="1:1">
      <c r="A23" s="23">
        <v>100</v>
      </c>
    </row>
    <row r="24" spans="1:1">
      <c r="A24" s="23">
        <v>100</v>
      </c>
    </row>
    <row r="25" spans="1:1">
      <c r="A25" s="23">
        <v>100</v>
      </c>
    </row>
    <row r="26" spans="1:1">
      <c r="A26" s="23">
        <v>100</v>
      </c>
    </row>
    <row r="27" spans="1:1">
      <c r="A27" s="23">
        <v>100</v>
      </c>
    </row>
    <row r="28" spans="1:1">
      <c r="A28" s="23">
        <v>100</v>
      </c>
    </row>
    <row r="29" spans="1:1">
      <c r="A29" s="23">
        <v>100</v>
      </c>
    </row>
    <row r="30" spans="1:1">
      <c r="A30" s="23">
        <v>100</v>
      </c>
    </row>
    <row r="31" spans="1:1">
      <c r="A31" s="23">
        <v>100</v>
      </c>
    </row>
    <row r="32" spans="1:1">
      <c r="A32" s="23">
        <v>100</v>
      </c>
    </row>
    <row r="33" spans="1:1">
      <c r="A33" s="23">
        <v>100</v>
      </c>
    </row>
    <row r="34" spans="1:1">
      <c r="A34" s="23">
        <v>100</v>
      </c>
    </row>
    <row r="35" spans="1:1">
      <c r="A35" s="23">
        <v>100</v>
      </c>
    </row>
    <row r="36" spans="1:1">
      <c r="A36" s="23">
        <v>100</v>
      </c>
    </row>
    <row r="37" spans="1:1">
      <c r="A37" s="23">
        <v>100</v>
      </c>
    </row>
    <row r="38" spans="1:1">
      <c r="A38" s="23">
        <v>100</v>
      </c>
    </row>
    <row r="39" spans="1:1">
      <c r="A39" s="23">
        <v>100</v>
      </c>
    </row>
    <row r="40" spans="1:1">
      <c r="A40" s="23">
        <v>100</v>
      </c>
    </row>
    <row r="41" spans="1:1">
      <c r="A41" s="23">
        <v>100</v>
      </c>
    </row>
    <row r="42" spans="1:1">
      <c r="A42" s="23">
        <v>100</v>
      </c>
    </row>
    <row r="43" spans="1:1">
      <c r="A43" s="23">
        <v>100</v>
      </c>
    </row>
    <row r="44" spans="1:1">
      <c r="A44" s="23">
        <v>100</v>
      </c>
    </row>
    <row r="45" spans="1:1">
      <c r="A45" s="23">
        <v>100</v>
      </c>
    </row>
    <row r="46" spans="1:1">
      <c r="A46" s="23">
        <v>100</v>
      </c>
    </row>
    <row r="47" spans="1:1">
      <c r="A47" s="23">
        <v>100</v>
      </c>
    </row>
    <row r="48" spans="1:1">
      <c r="A48" s="23">
        <v>100</v>
      </c>
    </row>
    <row r="49" spans="1:1">
      <c r="A49" s="23">
        <v>100</v>
      </c>
    </row>
    <row r="50" spans="1:1">
      <c r="A50" s="23">
        <v>100</v>
      </c>
    </row>
    <row r="51" spans="1:1">
      <c r="A51" s="23">
        <v>100</v>
      </c>
    </row>
    <row r="52" spans="1:1">
      <c r="A52" s="23">
        <v>100</v>
      </c>
    </row>
    <row r="53" spans="1:1">
      <c r="A53" s="23">
        <v>100</v>
      </c>
    </row>
    <row r="54" spans="1:1">
      <c r="A54" s="23">
        <v>100</v>
      </c>
    </row>
    <row r="55" spans="1:1">
      <c r="A55" s="23">
        <v>100</v>
      </c>
    </row>
    <row r="56" spans="1:1">
      <c r="A56" s="23">
        <v>100</v>
      </c>
    </row>
    <row r="57" spans="1:1">
      <c r="A57" s="23">
        <v>100</v>
      </c>
    </row>
    <row r="58" spans="1:1">
      <c r="A58" s="23">
        <v>100</v>
      </c>
    </row>
    <row r="59" spans="1:1">
      <c r="A59" s="23">
        <v>100</v>
      </c>
    </row>
    <row r="60" spans="1:1">
      <c r="A60" s="23">
        <v>100</v>
      </c>
    </row>
    <row r="61" spans="1:1">
      <c r="A61" s="23">
        <v>100</v>
      </c>
    </row>
    <row r="62" spans="1:1">
      <c r="A62" s="23">
        <v>100</v>
      </c>
    </row>
    <row r="63" spans="1:1">
      <c r="A63" s="23">
        <v>100</v>
      </c>
    </row>
    <row r="64" spans="1:1">
      <c r="A64" s="23">
        <v>100</v>
      </c>
    </row>
    <row r="65" spans="1:1">
      <c r="A65" s="23">
        <v>100</v>
      </c>
    </row>
    <row r="66" spans="1:1">
      <c r="A66" s="23">
        <v>100</v>
      </c>
    </row>
    <row r="67" spans="1:1">
      <c r="A67" s="23">
        <v>100</v>
      </c>
    </row>
    <row r="68" spans="1:1">
      <c r="A68" s="23">
        <v>100</v>
      </c>
    </row>
    <row r="69" spans="1:1">
      <c r="A69" s="23">
        <v>100</v>
      </c>
    </row>
    <row r="70" spans="1:1">
      <c r="A70" s="23">
        <v>100</v>
      </c>
    </row>
    <row r="71" spans="1:1">
      <c r="A71" s="23">
        <v>100</v>
      </c>
    </row>
    <row r="72" spans="1:1">
      <c r="A72" s="23">
        <v>100</v>
      </c>
    </row>
    <row r="73" spans="1:1">
      <c r="A73" s="23">
        <v>100</v>
      </c>
    </row>
    <row r="74" spans="1:1">
      <c r="A74" s="23">
        <v>100</v>
      </c>
    </row>
    <row r="75" spans="1:1">
      <c r="A75" s="23">
        <v>100</v>
      </c>
    </row>
    <row r="76" spans="1:1">
      <c r="A76" s="23">
        <v>100</v>
      </c>
    </row>
    <row r="77" spans="1:1">
      <c r="A77" s="23">
        <v>100</v>
      </c>
    </row>
    <row r="78" spans="1:1">
      <c r="A78" s="23">
        <v>100</v>
      </c>
    </row>
    <row r="79" spans="1:1">
      <c r="A79" s="23">
        <v>100</v>
      </c>
    </row>
    <row r="80" spans="1:1">
      <c r="A80" s="23">
        <v>100</v>
      </c>
    </row>
    <row r="81" spans="1:1">
      <c r="A81" s="23">
        <v>100</v>
      </c>
    </row>
    <row r="82" spans="1:1">
      <c r="A82" s="23">
        <v>100</v>
      </c>
    </row>
    <row r="83" spans="1:1">
      <c r="A83" s="23">
        <v>100</v>
      </c>
    </row>
    <row r="84" spans="1:1">
      <c r="A84" s="23">
        <v>100</v>
      </c>
    </row>
    <row r="85" spans="1:1">
      <c r="A85" s="23">
        <v>100</v>
      </c>
    </row>
    <row r="86" spans="1:1">
      <c r="A86" s="23">
        <v>100</v>
      </c>
    </row>
    <row r="87" spans="1:1">
      <c r="A87" s="23">
        <v>100</v>
      </c>
    </row>
    <row r="88" spans="1:1">
      <c r="A88" s="23">
        <v>100</v>
      </c>
    </row>
    <row r="89" spans="1:1">
      <c r="A89" s="23">
        <v>100</v>
      </c>
    </row>
    <row r="90" spans="1:1">
      <c r="A90" s="23">
        <v>100</v>
      </c>
    </row>
    <row r="91" spans="1:1">
      <c r="A91" s="23">
        <v>100</v>
      </c>
    </row>
    <row r="92" spans="1:1">
      <c r="A92" s="23">
        <v>100</v>
      </c>
    </row>
    <row r="93" spans="1:1">
      <c r="A93" s="23">
        <v>100</v>
      </c>
    </row>
    <row r="94" spans="1:1">
      <c r="A94" s="23">
        <v>100</v>
      </c>
    </row>
    <row r="95" spans="1:1">
      <c r="A95" s="23">
        <v>100</v>
      </c>
    </row>
    <row r="96" spans="1:1">
      <c r="A96" s="23">
        <v>100</v>
      </c>
    </row>
    <row r="97" spans="1:1">
      <c r="A97" s="23">
        <v>100</v>
      </c>
    </row>
    <row r="98" spans="1:1">
      <c r="A98" s="23">
        <v>100</v>
      </c>
    </row>
    <row r="99" spans="1:1">
      <c r="A99" s="23">
        <v>100</v>
      </c>
    </row>
    <row r="100" spans="1:1">
      <c r="A100" s="23">
        <v>100</v>
      </c>
    </row>
    <row r="101" spans="1:1">
      <c r="A101" s="23">
        <v>100</v>
      </c>
    </row>
    <row r="102" spans="1:1">
      <c r="A102" s="23">
        <v>100</v>
      </c>
    </row>
    <row r="103" spans="1:1">
      <c r="A103" s="23">
        <v>100</v>
      </c>
    </row>
    <row r="104" spans="1:1">
      <c r="A104" s="23">
        <v>100</v>
      </c>
    </row>
    <row r="105" spans="1:1">
      <c r="A105" s="23">
        <v>100</v>
      </c>
    </row>
    <row r="106" spans="1:1">
      <c r="A106" s="23">
        <v>100</v>
      </c>
    </row>
    <row r="107" spans="1:1">
      <c r="A107" s="23">
        <v>100</v>
      </c>
    </row>
    <row r="108" spans="1:1">
      <c r="A108" s="23">
        <v>100</v>
      </c>
    </row>
    <row r="109" spans="1:1">
      <c r="A109" s="23">
        <v>100</v>
      </c>
    </row>
    <row r="110" spans="1:1">
      <c r="A110" s="23">
        <v>100</v>
      </c>
    </row>
    <row r="111" spans="1:1">
      <c r="A111" s="23">
        <v>100</v>
      </c>
    </row>
    <row r="112" spans="1:1">
      <c r="A112" s="23">
        <v>100</v>
      </c>
    </row>
    <row r="113" spans="1:1">
      <c r="A113" s="23">
        <v>100</v>
      </c>
    </row>
    <row r="114" spans="1:1">
      <c r="A114" s="23">
        <v>100</v>
      </c>
    </row>
    <row r="115" spans="1:1">
      <c r="A115" s="23">
        <v>100</v>
      </c>
    </row>
    <row r="116" spans="1:1">
      <c r="A116" s="23">
        <v>100</v>
      </c>
    </row>
    <row r="117" spans="1:1">
      <c r="A117" s="23">
        <v>100</v>
      </c>
    </row>
    <row r="118" spans="1:1">
      <c r="A118" s="23">
        <v>100</v>
      </c>
    </row>
    <row r="119" spans="1:1">
      <c r="A119" s="23">
        <v>100</v>
      </c>
    </row>
    <row r="120" spans="1:1">
      <c r="A120" s="23">
        <v>100</v>
      </c>
    </row>
    <row r="121" spans="1:1">
      <c r="A121" s="23">
        <v>100</v>
      </c>
    </row>
    <row r="122" spans="1:1">
      <c r="A122" s="23">
        <v>100</v>
      </c>
    </row>
    <row r="123" spans="1:1">
      <c r="A123" s="23">
        <v>100</v>
      </c>
    </row>
    <row r="124" spans="1:1">
      <c r="A124" s="23">
        <v>100</v>
      </c>
    </row>
    <row r="125" spans="1:1">
      <c r="A125" s="23">
        <v>100</v>
      </c>
    </row>
    <row r="126" spans="1:1">
      <c r="A126" s="23">
        <v>100</v>
      </c>
    </row>
    <row r="127" spans="1:1">
      <c r="A127" s="23">
        <v>100</v>
      </c>
    </row>
    <row r="128" spans="1:1">
      <c r="A128" s="23">
        <v>100</v>
      </c>
    </row>
    <row r="129" spans="1:1">
      <c r="A129" s="23">
        <v>100</v>
      </c>
    </row>
    <row r="130" spans="1:1">
      <c r="A130" s="23">
        <v>100</v>
      </c>
    </row>
    <row r="131" spans="1:1">
      <c r="A131" s="23">
        <v>100</v>
      </c>
    </row>
    <row r="132" spans="1:1">
      <c r="A132" s="23">
        <v>100</v>
      </c>
    </row>
    <row r="133" spans="1:1">
      <c r="A133" s="23">
        <v>100</v>
      </c>
    </row>
    <row r="134" spans="1:1">
      <c r="A134" s="23">
        <v>100</v>
      </c>
    </row>
    <row r="135" spans="1:1">
      <c r="A135" s="23">
        <v>100</v>
      </c>
    </row>
    <row r="136" spans="1:1">
      <c r="A136" s="23">
        <v>100</v>
      </c>
    </row>
    <row r="137" spans="1:1">
      <c r="A137" s="23">
        <v>100</v>
      </c>
    </row>
    <row r="138" spans="1:1">
      <c r="A138" s="23">
        <v>100</v>
      </c>
    </row>
    <row r="139" spans="1:1">
      <c r="A139" s="23">
        <v>100</v>
      </c>
    </row>
    <row r="140" spans="1:1">
      <c r="A140" s="23">
        <v>100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S12"/>
  <sheetViews>
    <sheetView workbookViewId="0">
      <selection activeCell="H3" sqref="H3:T13"/>
    </sheetView>
  </sheetViews>
  <sheetFormatPr baseColWidth="10" defaultColWidth="11.1640625" defaultRowHeight="15" customHeight="1"/>
  <cols>
    <col min="1" max="1" width="39.5" customWidth="1"/>
    <col min="2" max="2" width="16.1640625" customWidth="1"/>
    <col min="3" max="3" width="19.1640625" customWidth="1"/>
    <col min="4" max="4" width="28.1640625" customWidth="1"/>
    <col min="5" max="5" width="26" customWidth="1"/>
    <col min="6" max="6" width="11.1640625" customWidth="1"/>
    <col min="18" max="18" width="12.5" customWidth="1"/>
    <col min="19" max="19" width="16.1640625" customWidth="1"/>
  </cols>
  <sheetData>
    <row r="1" spans="1:19">
      <c r="A1" s="2" t="s">
        <v>5</v>
      </c>
      <c r="B1" s="2" t="s">
        <v>6</v>
      </c>
      <c r="C1" s="2" t="s">
        <v>7</v>
      </c>
      <c r="D1" s="2" t="s">
        <v>8</v>
      </c>
      <c r="E1" s="2" t="s">
        <v>9</v>
      </c>
      <c r="F1" s="2" t="s">
        <v>10</v>
      </c>
      <c r="G1" s="2" t="s">
        <v>11</v>
      </c>
      <c r="H1" s="3" t="s">
        <v>12</v>
      </c>
      <c r="I1" s="3" t="s">
        <v>13</v>
      </c>
      <c r="J1" s="3" t="s">
        <v>14</v>
      </c>
      <c r="K1" s="3" t="s">
        <v>15</v>
      </c>
      <c r="L1" s="3" t="s">
        <v>16</v>
      </c>
      <c r="M1" s="3" t="s">
        <v>17</v>
      </c>
      <c r="N1" s="3" t="s">
        <v>18</v>
      </c>
      <c r="O1" s="3" t="s">
        <v>19</v>
      </c>
      <c r="P1" s="3" t="s">
        <v>20</v>
      </c>
      <c r="Q1" s="3" t="s">
        <v>21</v>
      </c>
      <c r="R1" s="3" t="s">
        <v>22</v>
      </c>
      <c r="S1" s="2" t="s">
        <v>23</v>
      </c>
    </row>
    <row r="2" spans="1:19">
      <c r="A2" s="24" t="s">
        <v>25</v>
      </c>
      <c r="B2" s="5">
        <f>'PRESIDENCIA 24-25'!C3</f>
        <v>180</v>
      </c>
      <c r="C2" s="5" t="str">
        <f>'PRESIDENCIA 24-25'!D3</f>
        <v>CITA</v>
      </c>
      <c r="D2" s="5" t="str">
        <f>'PRESIDENCIA 24-25'!E3</f>
        <v>ASCENDENTE</v>
      </c>
      <c r="E2" s="5" t="str">
        <f>'PRESIDENCIA 24-25'!F3</f>
        <v>BITACORA DE ATENCION</v>
      </c>
      <c r="F2" s="6" t="e">
        <f>'PRESIDENCIA 24-25'!G3</f>
        <v>#REF!</v>
      </c>
      <c r="G2" s="5" t="e">
        <f>'PRESIDENCIA 24-25'!H3</f>
        <v>#REF!</v>
      </c>
      <c r="H2" s="5" t="e">
        <f>'PRESIDENCIA 24-25'!I3</f>
        <v>#REF!</v>
      </c>
      <c r="I2" s="5" t="e">
        <f>'PRESIDENCIA 24-25'!J3</f>
        <v>#REF!</v>
      </c>
      <c r="J2" s="5" t="e">
        <f>'PRESIDENCIA 24-25'!K3</f>
        <v>#REF!</v>
      </c>
      <c r="K2" s="5" t="e">
        <f>'PRESIDENCIA 24-25'!L3</f>
        <v>#REF!</v>
      </c>
      <c r="L2" s="5" t="e">
        <f>'PRESIDENCIA 24-25'!M3</f>
        <v>#REF!</v>
      </c>
      <c r="M2" s="5" t="e">
        <f>'PRESIDENCIA 24-25'!N3</f>
        <v>#REF!</v>
      </c>
      <c r="N2" s="5" t="e">
        <f>'PRESIDENCIA 24-25'!O3</f>
        <v>#REF!</v>
      </c>
      <c r="O2" s="5" t="e">
        <f>'PRESIDENCIA 24-25'!P3</f>
        <v>#REF!</v>
      </c>
      <c r="P2" s="5" t="e">
        <f>'PRESIDENCIA 24-25'!Q3</f>
        <v>#REF!</v>
      </c>
      <c r="Q2" s="5" t="e">
        <f>'PRESIDENCIA 24-25'!R3</f>
        <v>#REF!</v>
      </c>
      <c r="R2" s="5" t="e">
        <f>'PRESIDENCIA 24-25'!S3</f>
        <v>#REF!</v>
      </c>
      <c r="S2" s="5" t="e">
        <f>'PRESIDENCIA 24-25'!T3</f>
        <v>#REF!</v>
      </c>
    </row>
    <row r="3" spans="1:19">
      <c r="A3" s="24" t="s">
        <v>26</v>
      </c>
      <c r="B3" s="5">
        <f>'PRESIDENCIA 24-25'!C4</f>
        <v>780</v>
      </c>
      <c r="C3" s="5" t="str">
        <f>'PRESIDENCIA 24-25'!D4</f>
        <v>NÚM. DE PERSONAS</v>
      </c>
      <c r="D3" s="5" t="str">
        <f>'PRESIDENCIA 24-25'!E4</f>
        <v>ASCENDENTE</v>
      </c>
      <c r="E3" s="5" t="str">
        <f>'PRESIDENCIA 24-25'!F4</f>
        <v>BITACORA DE ATENCION</v>
      </c>
      <c r="F3" s="6" t="e">
        <f>'PRESIDENCIA 24-25'!G4</f>
        <v>#REF!</v>
      </c>
      <c r="G3" s="5" t="e">
        <f>'PRESIDENCIA 24-25'!H4</f>
        <v>#REF!</v>
      </c>
      <c r="H3" s="5" t="e">
        <f>'PRESIDENCIA 24-25'!I4</f>
        <v>#REF!</v>
      </c>
      <c r="I3" s="5" t="e">
        <f>'PRESIDENCIA 24-25'!J4</f>
        <v>#REF!</v>
      </c>
      <c r="J3" s="5" t="e">
        <f>'PRESIDENCIA 24-25'!K4</f>
        <v>#REF!</v>
      </c>
      <c r="K3" s="5" t="e">
        <f>'PRESIDENCIA 24-25'!L4</f>
        <v>#REF!</v>
      </c>
      <c r="L3" s="5" t="e">
        <f>'PRESIDENCIA 24-25'!M4</f>
        <v>#REF!</v>
      </c>
      <c r="M3" s="5" t="e">
        <f>'PRESIDENCIA 24-25'!N4</f>
        <v>#REF!</v>
      </c>
      <c r="N3" s="5" t="e">
        <f>'PRESIDENCIA 24-25'!O4</f>
        <v>#REF!</v>
      </c>
      <c r="O3" s="5" t="e">
        <f>'PRESIDENCIA 24-25'!P4</f>
        <v>#REF!</v>
      </c>
      <c r="P3" s="5" t="e">
        <f>'PRESIDENCIA 24-25'!Q4</f>
        <v>#REF!</v>
      </c>
      <c r="Q3" s="5" t="e">
        <f>'PRESIDENCIA 24-25'!R4</f>
        <v>#REF!</v>
      </c>
      <c r="R3" s="5" t="e">
        <f>'PRESIDENCIA 24-25'!S4</f>
        <v>#REF!</v>
      </c>
      <c r="S3" s="5" t="e">
        <f>'PRESIDENCIA 24-25'!T4</f>
        <v>#REF!</v>
      </c>
    </row>
    <row r="4" spans="1:19">
      <c r="A4" s="24" t="s">
        <v>26</v>
      </c>
      <c r="B4" s="5">
        <f>'PRESIDENCIA 24-25'!C5</f>
        <v>780</v>
      </c>
      <c r="C4" s="5" t="str">
        <f>'PRESIDENCIA 24-25'!D5</f>
        <v>NUM. PERSONAS</v>
      </c>
      <c r="D4" s="5" t="str">
        <f>'PRESIDENCIA 24-25'!E5</f>
        <v>ASCENDENTE</v>
      </c>
      <c r="E4" s="5" t="str">
        <f>'PRESIDENCIA 24-25'!F5</f>
        <v>BITACORA DE ATENCION</v>
      </c>
      <c r="F4" s="6" t="e">
        <f>'PRESIDENCIA 24-25'!G5</f>
        <v>#REF!</v>
      </c>
      <c r="G4" s="5" t="e">
        <f>'PRESIDENCIA 24-25'!H5</f>
        <v>#REF!</v>
      </c>
      <c r="H4" s="5" t="e">
        <f>'PRESIDENCIA 24-25'!I5</f>
        <v>#REF!</v>
      </c>
      <c r="I4" s="5" t="e">
        <f>'PRESIDENCIA 24-25'!J5</f>
        <v>#REF!</v>
      </c>
      <c r="J4" s="5" t="e">
        <f>'PRESIDENCIA 24-25'!K5</f>
        <v>#REF!</v>
      </c>
      <c r="K4" s="5" t="e">
        <f>'PRESIDENCIA 24-25'!L5</f>
        <v>#REF!</v>
      </c>
      <c r="L4" s="5" t="e">
        <f>'PRESIDENCIA 24-25'!M5</f>
        <v>#REF!</v>
      </c>
      <c r="M4" s="5" t="e">
        <f>'PRESIDENCIA 24-25'!N5</f>
        <v>#REF!</v>
      </c>
      <c r="N4" s="5" t="e">
        <f>'PRESIDENCIA 24-25'!O5</f>
        <v>#REF!</v>
      </c>
      <c r="O4" s="5" t="e">
        <f>'PRESIDENCIA 24-25'!P5</f>
        <v>#REF!</v>
      </c>
      <c r="P4" s="5" t="e">
        <f>'PRESIDENCIA 24-25'!Q5</f>
        <v>#REF!</v>
      </c>
      <c r="Q4" s="5" t="e">
        <f>'PRESIDENCIA 24-25'!R5</f>
        <v>#REF!</v>
      </c>
      <c r="R4" s="5" t="e">
        <f>'PRESIDENCIA 24-25'!S5</f>
        <v>#REF!</v>
      </c>
      <c r="S4" s="5" t="e">
        <f>'PRESIDENCIA 24-25'!T5</f>
        <v>#REF!</v>
      </c>
    </row>
    <row r="5" spans="1:19">
      <c r="A5" s="24" t="s">
        <v>28</v>
      </c>
      <c r="B5" s="5">
        <f>'PRESIDENCIA 24-25'!C6</f>
        <v>100</v>
      </c>
      <c r="C5" s="5" t="str">
        <f>'PRESIDENCIA 24-25'!D6</f>
        <v>NÚM. ACUERDOS</v>
      </c>
      <c r="D5" s="5" t="str">
        <f>'PRESIDENCIA 24-25'!E6</f>
        <v>ASCENDENTE</v>
      </c>
      <c r="E5" s="5" t="str">
        <f>'PRESIDENCIA 24-25'!F6</f>
        <v>MINUTA DE REUNION</v>
      </c>
      <c r="F5" s="6" t="e">
        <f>'PRESIDENCIA 24-25'!G6</f>
        <v>#REF!</v>
      </c>
      <c r="G5" s="5" t="e">
        <f>'PRESIDENCIA 24-25'!H6</f>
        <v>#REF!</v>
      </c>
      <c r="H5" s="5" t="e">
        <f>'PRESIDENCIA 24-25'!I6</f>
        <v>#REF!</v>
      </c>
      <c r="I5" s="5" t="e">
        <f>'PRESIDENCIA 24-25'!J6</f>
        <v>#REF!</v>
      </c>
      <c r="J5" s="5" t="e">
        <f>'PRESIDENCIA 24-25'!K6</f>
        <v>#REF!</v>
      </c>
      <c r="K5" s="5" t="e">
        <f>'PRESIDENCIA 24-25'!L6</f>
        <v>#REF!</v>
      </c>
      <c r="L5" s="5" t="e">
        <f>'PRESIDENCIA 24-25'!M6</f>
        <v>#REF!</v>
      </c>
      <c r="M5" s="5" t="e">
        <f>'PRESIDENCIA 24-25'!N6</f>
        <v>#REF!</v>
      </c>
      <c r="N5" s="5" t="e">
        <f>'PRESIDENCIA 24-25'!O6</f>
        <v>#REF!</v>
      </c>
      <c r="O5" s="5" t="e">
        <f>'PRESIDENCIA 24-25'!P6</f>
        <v>#REF!</v>
      </c>
      <c r="P5" s="5" t="e">
        <f>'PRESIDENCIA 24-25'!Q6</f>
        <v>#REF!</v>
      </c>
      <c r="Q5" s="5" t="e">
        <f>'PRESIDENCIA 24-25'!R6</f>
        <v>#REF!</v>
      </c>
      <c r="R5" s="5" t="e">
        <f>'PRESIDENCIA 24-25'!S6</f>
        <v>#REF!</v>
      </c>
      <c r="S5" s="5" t="e">
        <f>'PRESIDENCIA 24-25'!T6</f>
        <v>#REF!</v>
      </c>
    </row>
    <row r="6" spans="1:19">
      <c r="A6" s="24" t="s">
        <v>30</v>
      </c>
      <c r="B6" s="5">
        <f>'PRESIDENCIA 24-25'!C7</f>
        <v>350</v>
      </c>
      <c r="C6" s="5" t="str">
        <f>'PRESIDENCIA 24-25'!D7</f>
        <v>NÚM. DE SOLICITUDES</v>
      </c>
      <c r="D6" s="5" t="str">
        <f>'PRESIDENCIA 24-25'!E7</f>
        <v>ASCENDENTE</v>
      </c>
      <c r="E6" s="5" t="str">
        <f>'PRESIDENCIA 24-25'!F7</f>
        <v>PNT</v>
      </c>
      <c r="F6" s="6" t="e">
        <f>'PRESIDENCIA 24-25'!G7</f>
        <v>#REF!</v>
      </c>
      <c r="G6" s="5" t="e">
        <f>'PRESIDENCIA 24-25'!H7</f>
        <v>#REF!</v>
      </c>
      <c r="H6" s="5" t="e">
        <f>'PRESIDENCIA 24-25'!I7</f>
        <v>#REF!</v>
      </c>
      <c r="I6" s="5" t="e">
        <f>'PRESIDENCIA 24-25'!J7</f>
        <v>#REF!</v>
      </c>
      <c r="J6" s="5" t="e">
        <f>'PRESIDENCIA 24-25'!K7</f>
        <v>#REF!</v>
      </c>
      <c r="K6" s="5" t="e">
        <f>'PRESIDENCIA 24-25'!L7</f>
        <v>#REF!</v>
      </c>
      <c r="L6" s="5" t="e">
        <f>'PRESIDENCIA 24-25'!M7</f>
        <v>#REF!</v>
      </c>
      <c r="M6" s="5" t="e">
        <f>'PRESIDENCIA 24-25'!N7</f>
        <v>#REF!</v>
      </c>
      <c r="N6" s="5" t="e">
        <f>'PRESIDENCIA 24-25'!O7</f>
        <v>#REF!</v>
      </c>
      <c r="O6" s="5" t="e">
        <f>'PRESIDENCIA 24-25'!P7</f>
        <v>#REF!</v>
      </c>
      <c r="P6" s="5" t="e">
        <f>'PRESIDENCIA 24-25'!Q7</f>
        <v>#REF!</v>
      </c>
      <c r="Q6" s="5" t="e">
        <f>'PRESIDENCIA 24-25'!R7</f>
        <v>#REF!</v>
      </c>
      <c r="R6" s="5" t="e">
        <f>'PRESIDENCIA 24-25'!S7</f>
        <v>#REF!</v>
      </c>
      <c r="S6" s="5" t="e">
        <f>'PRESIDENCIA 24-25'!T7</f>
        <v>#REF!</v>
      </c>
    </row>
    <row r="7" spans="1:19">
      <c r="A7" s="24" t="s">
        <v>31</v>
      </c>
      <c r="B7" s="5">
        <f>'PRESIDENCIA 24-25'!C8</f>
        <v>12</v>
      </c>
      <c r="C7" s="5" t="str">
        <f>'PRESIDENCIA 24-25'!D8</f>
        <v>NÚM. DE CAPACITACIONES</v>
      </c>
      <c r="D7" s="5" t="str">
        <f>'PRESIDENCIA 24-25'!E8</f>
        <v>ASCENDENTE</v>
      </c>
      <c r="E7" s="5" t="str">
        <f>'PRESIDENCIA 24-25'!F8</f>
        <v>PROGRAMA ANUAL DE CAPACITACIONES</v>
      </c>
      <c r="F7" s="6" t="e">
        <f>'PRESIDENCIA 24-25'!G8</f>
        <v>#REF!</v>
      </c>
      <c r="G7" s="5" t="e">
        <f>'PRESIDENCIA 24-25'!H8</f>
        <v>#REF!</v>
      </c>
      <c r="H7" s="5" t="e">
        <f>'PRESIDENCIA 24-25'!I8</f>
        <v>#REF!</v>
      </c>
      <c r="I7" s="5" t="e">
        <f>'PRESIDENCIA 24-25'!J8</f>
        <v>#REF!</v>
      </c>
      <c r="J7" s="5" t="e">
        <f>'PRESIDENCIA 24-25'!K8</f>
        <v>#REF!</v>
      </c>
      <c r="K7" s="5" t="e">
        <f>'PRESIDENCIA 24-25'!L8</f>
        <v>#REF!</v>
      </c>
      <c r="L7" s="5" t="e">
        <f>'PRESIDENCIA 24-25'!M8</f>
        <v>#REF!</v>
      </c>
      <c r="M7" s="5" t="e">
        <f>'PRESIDENCIA 24-25'!N8</f>
        <v>#REF!</v>
      </c>
      <c r="N7" s="5" t="e">
        <f>'PRESIDENCIA 24-25'!O8</f>
        <v>#REF!</v>
      </c>
      <c r="O7" s="5" t="e">
        <f>'PRESIDENCIA 24-25'!P8</f>
        <v>#REF!</v>
      </c>
      <c r="P7" s="5" t="e">
        <f>'PRESIDENCIA 24-25'!Q8</f>
        <v>#REF!</v>
      </c>
      <c r="Q7" s="5" t="e">
        <f>'PRESIDENCIA 24-25'!R8</f>
        <v>#REF!</v>
      </c>
      <c r="R7" s="5" t="e">
        <f>'PRESIDENCIA 24-25'!S8</f>
        <v>#REF!</v>
      </c>
      <c r="S7" s="5" t="e">
        <f>'PRESIDENCIA 24-25'!T8</f>
        <v>#REF!</v>
      </c>
    </row>
    <row r="8" spans="1:19">
      <c r="A8" s="24" t="s">
        <v>33</v>
      </c>
      <c r="B8" s="5">
        <f>'PRESIDENCIA 24-25'!C9</f>
        <v>520</v>
      </c>
      <c r="C8" s="5" t="str">
        <f>'PRESIDENCIA 24-25'!D9</f>
        <v>NÚM. DE NOTAS PUBLICADAS</v>
      </c>
      <c r="D8" s="5" t="str">
        <f>'PRESIDENCIA 24-25'!E9</f>
        <v>ASCENDENTE</v>
      </c>
      <c r="E8" s="5" t="str">
        <f>'PRESIDENCIA 24-25'!F9</f>
        <v>BITACORA OPERATIVA</v>
      </c>
      <c r="F8" s="6" t="e">
        <f>'PRESIDENCIA 24-25'!G9</f>
        <v>#REF!</v>
      </c>
      <c r="G8" s="5" t="e">
        <f>'PRESIDENCIA 24-25'!H9</f>
        <v>#REF!</v>
      </c>
      <c r="H8" s="5" t="e">
        <f>'PRESIDENCIA 24-25'!I9</f>
        <v>#REF!</v>
      </c>
      <c r="I8" s="5" t="e">
        <f>'PRESIDENCIA 24-25'!J9</f>
        <v>#REF!</v>
      </c>
      <c r="J8" s="5" t="e">
        <f>'PRESIDENCIA 24-25'!K9</f>
        <v>#REF!</v>
      </c>
      <c r="K8" s="5" t="e">
        <f>'PRESIDENCIA 24-25'!L9</f>
        <v>#REF!</v>
      </c>
      <c r="L8" s="5" t="e">
        <f>'PRESIDENCIA 24-25'!M9</f>
        <v>#REF!</v>
      </c>
      <c r="M8" s="5" t="e">
        <f>'PRESIDENCIA 24-25'!N9</f>
        <v>#REF!</v>
      </c>
      <c r="N8" s="5" t="e">
        <f>'PRESIDENCIA 24-25'!O9</f>
        <v>#REF!</v>
      </c>
      <c r="O8" s="5" t="e">
        <f>'PRESIDENCIA 24-25'!P9</f>
        <v>#REF!</v>
      </c>
      <c r="P8" s="5" t="e">
        <f>'PRESIDENCIA 24-25'!Q9</f>
        <v>#REF!</v>
      </c>
      <c r="Q8" s="5" t="e">
        <f>'PRESIDENCIA 24-25'!R9</f>
        <v>#REF!</v>
      </c>
      <c r="R8" s="5" t="e">
        <f>'PRESIDENCIA 24-25'!S9</f>
        <v>#REF!</v>
      </c>
      <c r="S8" s="5" t="e">
        <f>'PRESIDENCIA 24-25'!T9</f>
        <v>#REF!</v>
      </c>
    </row>
    <row r="9" spans="1:19">
      <c r="A9" s="24" t="s">
        <v>34</v>
      </c>
      <c r="B9" s="5">
        <f>'PRESIDENCIA 24-25'!C10</f>
        <v>500</v>
      </c>
      <c r="C9" s="5" t="str">
        <f>'PRESIDENCIA 24-25'!D10</f>
        <v>NÚM. DE DISEÑOS REALIZADOS</v>
      </c>
      <c r="D9" s="5" t="str">
        <f>'PRESIDENCIA 24-25'!E10</f>
        <v>ASCENDENTE</v>
      </c>
      <c r="E9" s="5" t="str">
        <f>'PRESIDENCIA 24-25'!F10</f>
        <v>BITACORA OPERATIVA</v>
      </c>
      <c r="F9" s="6" t="e">
        <f>'PRESIDENCIA 24-25'!G10</f>
        <v>#REF!</v>
      </c>
      <c r="G9" s="5" t="e">
        <f>'PRESIDENCIA 24-25'!H10</f>
        <v>#REF!</v>
      </c>
      <c r="H9" s="5" t="e">
        <f>'PRESIDENCIA 24-25'!I10</f>
        <v>#REF!</v>
      </c>
      <c r="I9" s="5" t="e">
        <f>'PRESIDENCIA 24-25'!J10</f>
        <v>#REF!</v>
      </c>
      <c r="J9" s="5" t="e">
        <f>'PRESIDENCIA 24-25'!K10</f>
        <v>#REF!</v>
      </c>
      <c r="K9" s="5" t="e">
        <f>'PRESIDENCIA 24-25'!L10</f>
        <v>#REF!</v>
      </c>
      <c r="L9" s="5" t="e">
        <f>'PRESIDENCIA 24-25'!M10</f>
        <v>#REF!</v>
      </c>
      <c r="M9" s="5" t="e">
        <f>'PRESIDENCIA 24-25'!N10</f>
        <v>#REF!</v>
      </c>
      <c r="N9" s="5" t="e">
        <f>'PRESIDENCIA 24-25'!O10</f>
        <v>#REF!</v>
      </c>
      <c r="O9" s="5" t="e">
        <f>'PRESIDENCIA 24-25'!P10</f>
        <v>#REF!</v>
      </c>
      <c r="P9" s="5" t="e">
        <f>'PRESIDENCIA 24-25'!Q10</f>
        <v>#REF!</v>
      </c>
      <c r="Q9" s="5" t="e">
        <f>'PRESIDENCIA 24-25'!R10</f>
        <v>#REF!</v>
      </c>
      <c r="R9" s="5" t="e">
        <f>'PRESIDENCIA 24-25'!S10</f>
        <v>#REF!</v>
      </c>
      <c r="S9" s="5" t="e">
        <f>'PRESIDENCIA 24-25'!T10</f>
        <v>#REF!</v>
      </c>
    </row>
    <row r="10" spans="1:19">
      <c r="A10" s="24" t="s">
        <v>35</v>
      </c>
      <c r="B10" s="5">
        <f>'PRESIDENCIA 24-25'!C11</f>
        <v>320</v>
      </c>
      <c r="C10" s="5" t="str">
        <f>'PRESIDENCIA 24-25'!D11</f>
        <v>NÚM. DE PUBLICCIONES</v>
      </c>
      <c r="D10" s="5" t="str">
        <f>'PRESIDENCIA 24-25'!E11</f>
        <v>ASCENDENTE</v>
      </c>
      <c r="E10" s="5" t="str">
        <f>'PRESIDENCIA 24-25'!F11</f>
        <v>BITACORA OPERATIVA</v>
      </c>
      <c r="F10" s="6" t="e">
        <f>'PRESIDENCIA 24-25'!G11</f>
        <v>#REF!</v>
      </c>
      <c r="G10" s="5" t="e">
        <f>'PRESIDENCIA 24-25'!H11</f>
        <v>#REF!</v>
      </c>
      <c r="H10" s="5" t="e">
        <f>'PRESIDENCIA 24-25'!I11</f>
        <v>#REF!</v>
      </c>
      <c r="I10" s="5" t="e">
        <f>'PRESIDENCIA 24-25'!J11</f>
        <v>#REF!</v>
      </c>
      <c r="J10" s="5" t="e">
        <f>'PRESIDENCIA 24-25'!K11</f>
        <v>#REF!</v>
      </c>
      <c r="K10" s="5" t="e">
        <f>'PRESIDENCIA 24-25'!L11</f>
        <v>#REF!</v>
      </c>
      <c r="L10" s="5" t="e">
        <f>'PRESIDENCIA 24-25'!M11</f>
        <v>#REF!</v>
      </c>
      <c r="M10" s="5" t="e">
        <f>'PRESIDENCIA 24-25'!N11</f>
        <v>#REF!</v>
      </c>
      <c r="N10" s="5" t="e">
        <f>'PRESIDENCIA 24-25'!O11</f>
        <v>#REF!</v>
      </c>
      <c r="O10" s="5" t="e">
        <f>'PRESIDENCIA 24-25'!P11</f>
        <v>#REF!</v>
      </c>
      <c r="P10" s="5" t="e">
        <f>'PRESIDENCIA 24-25'!Q11</f>
        <v>#REF!</v>
      </c>
      <c r="Q10" s="5" t="e">
        <f>'PRESIDENCIA 24-25'!R11</f>
        <v>#REF!</v>
      </c>
      <c r="R10" s="5" t="e">
        <f>'PRESIDENCIA 24-25'!S11</f>
        <v>#REF!</v>
      </c>
      <c r="S10" s="5" t="e">
        <f>'PRESIDENCIA 24-25'!T11</f>
        <v>#REF!</v>
      </c>
    </row>
    <row r="11" spans="1:19">
      <c r="A11" s="24" t="s">
        <v>37</v>
      </c>
      <c r="B11" s="5">
        <f>'PRESIDENCIA 24-25'!C12</f>
        <v>14</v>
      </c>
      <c r="C11" s="5" t="str">
        <f>'PRESIDENCIA 24-25'!D12</f>
        <v>NÚM. DE PROGRAMAS IMPLEMENTADOS</v>
      </c>
      <c r="D11" s="5" t="str">
        <f>'PRESIDENCIA 24-25'!E12</f>
        <v>ASCENDENTE</v>
      </c>
      <c r="E11" s="5" t="str">
        <f>'PRESIDENCIA 24-25'!F12</f>
        <v>PADRON UNICO DE BENEFICIADOS</v>
      </c>
      <c r="F11" s="6" t="e">
        <f>'PRESIDENCIA 24-25'!G12</f>
        <v>#REF!</v>
      </c>
      <c r="G11" s="5" t="e">
        <f>'PRESIDENCIA 24-25'!H12</f>
        <v>#REF!</v>
      </c>
      <c r="H11" s="5" t="e">
        <f>'PRESIDENCIA 24-25'!I12</f>
        <v>#REF!</v>
      </c>
      <c r="I11" s="5" t="e">
        <f>'PRESIDENCIA 24-25'!J12</f>
        <v>#REF!</v>
      </c>
      <c r="J11" s="5" t="e">
        <f>'PRESIDENCIA 24-25'!K12</f>
        <v>#REF!</v>
      </c>
      <c r="K11" s="5" t="e">
        <f>'PRESIDENCIA 24-25'!L12</f>
        <v>#REF!</v>
      </c>
      <c r="L11" s="5" t="e">
        <f>'PRESIDENCIA 24-25'!M12</f>
        <v>#REF!</v>
      </c>
      <c r="M11" s="5" t="e">
        <f>'PRESIDENCIA 24-25'!N12</f>
        <v>#REF!</v>
      </c>
      <c r="N11" s="5" t="e">
        <f>'PRESIDENCIA 24-25'!O12</f>
        <v>#REF!</v>
      </c>
      <c r="O11" s="5" t="e">
        <f>'PRESIDENCIA 24-25'!P12</f>
        <v>#REF!</v>
      </c>
      <c r="P11" s="5" t="e">
        <f>'PRESIDENCIA 24-25'!Q12</f>
        <v>#REF!</v>
      </c>
      <c r="Q11" s="5" t="e">
        <f>'PRESIDENCIA 24-25'!R12</f>
        <v>#REF!</v>
      </c>
      <c r="R11" s="5" t="e">
        <f>'PRESIDENCIA 24-25'!S12</f>
        <v>#REF!</v>
      </c>
      <c r="S11" s="5" t="e">
        <f>'PRESIDENCIA 24-25'!T12</f>
        <v>#REF!</v>
      </c>
    </row>
    <row r="12" spans="1:19">
      <c r="A12" s="24" t="s">
        <v>38</v>
      </c>
      <c r="B12" s="5">
        <f>'PRESIDENCIA 24-25'!C13</f>
        <v>66</v>
      </c>
      <c r="C12" s="5" t="str">
        <f>'PRESIDENCIA 24-25'!D13</f>
        <v>NUM. PERSONAS</v>
      </c>
      <c r="D12" s="5" t="str">
        <f>'PRESIDENCIA 24-25'!E13</f>
        <v>ASCENDENTE</v>
      </c>
      <c r="E12" s="5" t="str">
        <f>'PRESIDENCIA 24-25'!F13</f>
        <v>PADRON UNICO DE BENEFICIADOS</v>
      </c>
      <c r="F12" s="6" t="e">
        <f>'PRESIDENCIA 24-25'!G13</f>
        <v>#REF!</v>
      </c>
      <c r="G12" s="5" t="e">
        <f>'PRESIDENCIA 24-25'!H13</f>
        <v>#REF!</v>
      </c>
      <c r="H12" s="5" t="e">
        <f>'PRESIDENCIA 24-25'!I13</f>
        <v>#REF!</v>
      </c>
      <c r="I12" s="5" t="e">
        <f>'PRESIDENCIA 24-25'!J13</f>
        <v>#REF!</v>
      </c>
      <c r="J12" s="5" t="e">
        <f>'PRESIDENCIA 24-25'!K13</f>
        <v>#REF!</v>
      </c>
      <c r="K12" s="5" t="e">
        <f>'PRESIDENCIA 24-25'!L13</f>
        <v>#REF!</v>
      </c>
      <c r="L12" s="5" t="e">
        <f>'PRESIDENCIA 24-25'!M13</f>
        <v>#REF!</v>
      </c>
      <c r="M12" s="5" t="e">
        <f>'PRESIDENCIA 24-25'!N13</f>
        <v>#REF!</v>
      </c>
      <c r="N12" s="5" t="e">
        <f>'PRESIDENCIA 24-25'!O13</f>
        <v>#REF!</v>
      </c>
      <c r="O12" s="5" t="e">
        <f>'PRESIDENCIA 24-25'!P13</f>
        <v>#REF!</v>
      </c>
      <c r="P12" s="5" t="e">
        <f>'PRESIDENCIA 24-25'!Q13</f>
        <v>#REF!</v>
      </c>
      <c r="Q12" s="5" t="e">
        <f>'PRESIDENCIA 24-25'!R13</f>
        <v>#REF!</v>
      </c>
      <c r="R12" s="5" t="e">
        <f>'PRESIDENCIA 24-25'!S13</f>
        <v>#REF!</v>
      </c>
      <c r="S12" s="5" t="e">
        <f>'PRESIDENCIA 24-25'!T13</f>
        <v>#REF!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S12"/>
  <sheetViews>
    <sheetView workbookViewId="0">
      <selection activeCell="H3" sqref="H3:T13"/>
    </sheetView>
  </sheetViews>
  <sheetFormatPr baseColWidth="10" defaultColWidth="11.1640625" defaultRowHeight="15" customHeight="1"/>
  <cols>
    <col min="1" max="1" width="39.5" customWidth="1"/>
    <col min="2" max="2" width="16.1640625" customWidth="1"/>
    <col min="3" max="3" width="19.1640625" customWidth="1"/>
    <col min="4" max="4" width="28.1640625" customWidth="1"/>
    <col min="5" max="5" width="26" customWidth="1"/>
    <col min="6" max="6" width="11.1640625" customWidth="1"/>
    <col min="18" max="18" width="12.5" customWidth="1"/>
    <col min="19" max="19" width="16.1640625" customWidth="1"/>
  </cols>
  <sheetData>
    <row r="1" spans="1:19">
      <c r="A1" s="2" t="s">
        <v>5</v>
      </c>
      <c r="B1" s="2" t="s">
        <v>6</v>
      </c>
      <c r="C1" s="2" t="s">
        <v>7</v>
      </c>
      <c r="D1" s="2" t="s">
        <v>8</v>
      </c>
      <c r="E1" s="2" t="s">
        <v>9</v>
      </c>
      <c r="F1" s="2" t="s">
        <v>10</v>
      </c>
      <c r="G1" s="2" t="s">
        <v>11</v>
      </c>
      <c r="H1" s="3" t="s">
        <v>12</v>
      </c>
      <c r="I1" s="3" t="s">
        <v>13</v>
      </c>
      <c r="J1" s="3" t="s">
        <v>14</v>
      </c>
      <c r="K1" s="3" t="s">
        <v>15</v>
      </c>
      <c r="L1" s="3" t="s">
        <v>16</v>
      </c>
      <c r="M1" s="3" t="s">
        <v>17</v>
      </c>
      <c r="N1" s="3" t="s">
        <v>18</v>
      </c>
      <c r="O1" s="3" t="s">
        <v>19</v>
      </c>
      <c r="P1" s="3" t="s">
        <v>20</v>
      </c>
      <c r="Q1" s="3" t="s">
        <v>21</v>
      </c>
      <c r="R1" s="3" t="s">
        <v>22</v>
      </c>
      <c r="S1" s="2" t="s">
        <v>23</v>
      </c>
    </row>
    <row r="2" spans="1:19">
      <c r="A2" s="24" t="s">
        <v>25</v>
      </c>
      <c r="B2" s="20">
        <f>'PRESIDENCIA 25-26'!C3</f>
        <v>180</v>
      </c>
      <c r="C2" s="20" t="str">
        <f>'PRESIDENCIA 25-26'!D3</f>
        <v>CITA</v>
      </c>
      <c r="D2" s="20" t="str">
        <f>'PRESIDENCIA 25-26'!E3</f>
        <v>ASCENDENTE</v>
      </c>
      <c r="E2" s="20" t="str">
        <f>'PRESIDENCIA 25-26'!F3</f>
        <v>BITACORA DE ATENCION</v>
      </c>
      <c r="F2" s="25" t="e">
        <f>'PRESIDENCIA 25-26'!G3</f>
        <v>#REF!</v>
      </c>
      <c r="G2" s="20" t="e">
        <f>'PRESIDENCIA 25-26'!H3</f>
        <v>#REF!</v>
      </c>
      <c r="H2" s="20" t="e">
        <f>'PRESIDENCIA 25-26'!I3</f>
        <v>#REF!</v>
      </c>
      <c r="I2" s="20" t="e">
        <f>'PRESIDENCIA 25-26'!J3</f>
        <v>#REF!</v>
      </c>
      <c r="J2" s="20" t="e">
        <f>'PRESIDENCIA 25-26'!K3</f>
        <v>#REF!</v>
      </c>
      <c r="K2" s="20" t="e">
        <f>'PRESIDENCIA 25-26'!L3</f>
        <v>#REF!</v>
      </c>
      <c r="L2" s="20" t="e">
        <f>'PRESIDENCIA 25-26'!M3</f>
        <v>#REF!</v>
      </c>
      <c r="M2" s="20" t="e">
        <f>'PRESIDENCIA 25-26'!N3</f>
        <v>#REF!</v>
      </c>
      <c r="N2" s="20" t="e">
        <f>'PRESIDENCIA 25-26'!O3</f>
        <v>#REF!</v>
      </c>
      <c r="O2" s="20" t="e">
        <f>'PRESIDENCIA 25-26'!P3</f>
        <v>#REF!</v>
      </c>
      <c r="P2" s="20" t="e">
        <f>'PRESIDENCIA 25-26'!Q3</f>
        <v>#REF!</v>
      </c>
      <c r="Q2" s="20" t="e">
        <f>'PRESIDENCIA 25-26'!R3</f>
        <v>#REF!</v>
      </c>
      <c r="R2" s="20" t="e">
        <f>'PRESIDENCIA 25-26'!S3</f>
        <v>#REF!</v>
      </c>
      <c r="S2" s="20" t="e">
        <f>'PRESIDENCIA 25-26'!T3</f>
        <v>#REF!</v>
      </c>
    </row>
    <row r="3" spans="1:19">
      <c r="A3" s="24" t="s">
        <v>26</v>
      </c>
      <c r="B3" s="20">
        <f>'PRESIDENCIA 25-26'!C4</f>
        <v>780</v>
      </c>
      <c r="C3" s="20" t="str">
        <f>'PRESIDENCIA 25-26'!D4</f>
        <v>NÚM. DE PERSONAS</v>
      </c>
      <c r="D3" s="20" t="str">
        <f>'PRESIDENCIA 25-26'!E4</f>
        <v>ASCENDENTE</v>
      </c>
      <c r="E3" s="20" t="str">
        <f>'PRESIDENCIA 25-26'!F4</f>
        <v>BITACORA DE ATENCION</v>
      </c>
      <c r="F3" s="25" t="e">
        <f>'PRESIDENCIA 25-26'!G4</f>
        <v>#REF!</v>
      </c>
      <c r="G3" s="20" t="e">
        <f>'PRESIDENCIA 25-26'!H4</f>
        <v>#REF!</v>
      </c>
      <c r="H3" s="20" t="e">
        <f>'PRESIDENCIA 25-26'!I4</f>
        <v>#REF!</v>
      </c>
      <c r="I3" s="20" t="e">
        <f>'PRESIDENCIA 25-26'!J4</f>
        <v>#REF!</v>
      </c>
      <c r="J3" s="20" t="e">
        <f>'PRESIDENCIA 25-26'!K4</f>
        <v>#REF!</v>
      </c>
      <c r="K3" s="20" t="e">
        <f>'PRESIDENCIA 25-26'!L4</f>
        <v>#REF!</v>
      </c>
      <c r="L3" s="20" t="e">
        <f>'PRESIDENCIA 25-26'!M4</f>
        <v>#REF!</v>
      </c>
      <c r="M3" s="20" t="e">
        <f>'PRESIDENCIA 25-26'!N4</f>
        <v>#REF!</v>
      </c>
      <c r="N3" s="20" t="e">
        <f>'PRESIDENCIA 25-26'!O4</f>
        <v>#REF!</v>
      </c>
      <c r="O3" s="20" t="e">
        <f>'PRESIDENCIA 25-26'!P4</f>
        <v>#REF!</v>
      </c>
      <c r="P3" s="20" t="e">
        <f>'PRESIDENCIA 25-26'!Q4</f>
        <v>#REF!</v>
      </c>
      <c r="Q3" s="20" t="e">
        <f>'PRESIDENCIA 25-26'!R4</f>
        <v>#REF!</v>
      </c>
      <c r="R3" s="20" t="e">
        <f>'PRESIDENCIA 25-26'!S4</f>
        <v>#REF!</v>
      </c>
      <c r="S3" s="20" t="e">
        <f>'PRESIDENCIA 25-26'!T4</f>
        <v>#REF!</v>
      </c>
    </row>
    <row r="4" spans="1:19">
      <c r="A4" s="24" t="s">
        <v>26</v>
      </c>
      <c r="B4" s="20">
        <f>'PRESIDENCIA 25-26'!C5</f>
        <v>780</v>
      </c>
      <c r="C4" s="20" t="str">
        <f>'PRESIDENCIA 25-26'!D5</f>
        <v>NUM. PERSONAS</v>
      </c>
      <c r="D4" s="20" t="str">
        <f>'PRESIDENCIA 25-26'!E5</f>
        <v>ASCENDENTE</v>
      </c>
      <c r="E4" s="20" t="str">
        <f>'PRESIDENCIA 25-26'!F5</f>
        <v>BITACORA DE ATENCION</v>
      </c>
      <c r="F4" s="25" t="e">
        <f>'PRESIDENCIA 25-26'!G5</f>
        <v>#REF!</v>
      </c>
      <c r="G4" s="20" t="e">
        <f>'PRESIDENCIA 25-26'!H5</f>
        <v>#REF!</v>
      </c>
      <c r="H4" s="20" t="e">
        <f>'PRESIDENCIA 25-26'!I5</f>
        <v>#REF!</v>
      </c>
      <c r="I4" s="20" t="e">
        <f>'PRESIDENCIA 25-26'!J5</f>
        <v>#REF!</v>
      </c>
      <c r="J4" s="20" t="e">
        <f>'PRESIDENCIA 25-26'!K5</f>
        <v>#REF!</v>
      </c>
      <c r="K4" s="20" t="e">
        <f>'PRESIDENCIA 25-26'!L5</f>
        <v>#REF!</v>
      </c>
      <c r="L4" s="20" t="e">
        <f>'PRESIDENCIA 25-26'!M5</f>
        <v>#REF!</v>
      </c>
      <c r="M4" s="20" t="e">
        <f>'PRESIDENCIA 25-26'!N5</f>
        <v>#REF!</v>
      </c>
      <c r="N4" s="20" t="e">
        <f>'PRESIDENCIA 25-26'!O5</f>
        <v>#REF!</v>
      </c>
      <c r="O4" s="20" t="e">
        <f>'PRESIDENCIA 25-26'!P5</f>
        <v>#REF!</v>
      </c>
      <c r="P4" s="20" t="e">
        <f>'PRESIDENCIA 25-26'!Q5</f>
        <v>#REF!</v>
      </c>
      <c r="Q4" s="20" t="e">
        <f>'PRESIDENCIA 25-26'!R5</f>
        <v>#REF!</v>
      </c>
      <c r="R4" s="20" t="e">
        <f>'PRESIDENCIA 25-26'!S5</f>
        <v>#REF!</v>
      </c>
      <c r="S4" s="20" t="e">
        <f>'PRESIDENCIA 25-26'!T5</f>
        <v>#REF!</v>
      </c>
    </row>
    <row r="5" spans="1:19">
      <c r="A5" s="24" t="s">
        <v>28</v>
      </c>
      <c r="B5" s="20">
        <f>'PRESIDENCIA 25-26'!C6</f>
        <v>100</v>
      </c>
      <c r="C5" s="20" t="str">
        <f>'PRESIDENCIA 25-26'!D6</f>
        <v>NÚM. ACUERDOS</v>
      </c>
      <c r="D5" s="20" t="str">
        <f>'PRESIDENCIA 25-26'!E6</f>
        <v>ASCENDENTE</v>
      </c>
      <c r="E5" s="20" t="str">
        <f>'PRESIDENCIA 25-26'!F6</f>
        <v>MINUTA DE REUNION</v>
      </c>
      <c r="F5" s="25" t="e">
        <f>'PRESIDENCIA 25-26'!G6</f>
        <v>#REF!</v>
      </c>
      <c r="G5" s="20" t="e">
        <f>'PRESIDENCIA 25-26'!H6</f>
        <v>#REF!</v>
      </c>
      <c r="H5" s="20" t="e">
        <f>'PRESIDENCIA 25-26'!I6</f>
        <v>#REF!</v>
      </c>
      <c r="I5" s="20" t="e">
        <f>'PRESIDENCIA 25-26'!J6</f>
        <v>#REF!</v>
      </c>
      <c r="J5" s="20" t="e">
        <f>'PRESIDENCIA 25-26'!K6</f>
        <v>#REF!</v>
      </c>
      <c r="K5" s="20" t="e">
        <f>'PRESIDENCIA 25-26'!L6</f>
        <v>#REF!</v>
      </c>
      <c r="L5" s="20" t="e">
        <f>'PRESIDENCIA 25-26'!M6</f>
        <v>#REF!</v>
      </c>
      <c r="M5" s="20" t="e">
        <f>'PRESIDENCIA 25-26'!N6</f>
        <v>#REF!</v>
      </c>
      <c r="N5" s="20" t="e">
        <f>'PRESIDENCIA 25-26'!O6</f>
        <v>#REF!</v>
      </c>
      <c r="O5" s="20" t="e">
        <f>'PRESIDENCIA 25-26'!P6</f>
        <v>#REF!</v>
      </c>
      <c r="P5" s="20" t="e">
        <f>'PRESIDENCIA 25-26'!Q6</f>
        <v>#REF!</v>
      </c>
      <c r="Q5" s="20" t="e">
        <f>'PRESIDENCIA 25-26'!R6</f>
        <v>#REF!</v>
      </c>
      <c r="R5" s="20" t="e">
        <f>'PRESIDENCIA 25-26'!S6</f>
        <v>#REF!</v>
      </c>
      <c r="S5" s="20" t="e">
        <f>'PRESIDENCIA 25-26'!T6</f>
        <v>#REF!</v>
      </c>
    </row>
    <row r="6" spans="1:19">
      <c r="A6" s="24" t="s">
        <v>30</v>
      </c>
      <c r="B6" s="20">
        <f>'PRESIDENCIA 25-26'!C7</f>
        <v>350</v>
      </c>
      <c r="C6" s="20" t="str">
        <f>'PRESIDENCIA 25-26'!D7</f>
        <v>NÚM. DE SOLICITUDES</v>
      </c>
      <c r="D6" s="20" t="str">
        <f>'PRESIDENCIA 25-26'!E7</f>
        <v>ASCENDENTE</v>
      </c>
      <c r="E6" s="20" t="str">
        <f>'PRESIDENCIA 25-26'!F7</f>
        <v>PNT</v>
      </c>
      <c r="F6" s="25" t="e">
        <f>'PRESIDENCIA 25-26'!G7</f>
        <v>#REF!</v>
      </c>
      <c r="G6" s="20" t="e">
        <f>'PRESIDENCIA 25-26'!H7</f>
        <v>#REF!</v>
      </c>
      <c r="H6" s="20" t="e">
        <f>'PRESIDENCIA 25-26'!I7</f>
        <v>#REF!</v>
      </c>
      <c r="I6" s="20" t="e">
        <f>'PRESIDENCIA 25-26'!J7</f>
        <v>#REF!</v>
      </c>
      <c r="J6" s="20" t="e">
        <f>'PRESIDENCIA 25-26'!K7</f>
        <v>#REF!</v>
      </c>
      <c r="K6" s="20" t="e">
        <f>'PRESIDENCIA 25-26'!L7</f>
        <v>#REF!</v>
      </c>
      <c r="L6" s="20" t="e">
        <f>'PRESIDENCIA 25-26'!M7</f>
        <v>#REF!</v>
      </c>
      <c r="M6" s="20" t="e">
        <f>'PRESIDENCIA 25-26'!N7</f>
        <v>#REF!</v>
      </c>
      <c r="N6" s="20" t="e">
        <f>'PRESIDENCIA 25-26'!O7</f>
        <v>#REF!</v>
      </c>
      <c r="O6" s="20" t="e">
        <f>'PRESIDENCIA 25-26'!P7</f>
        <v>#REF!</v>
      </c>
      <c r="P6" s="20" t="e">
        <f>'PRESIDENCIA 25-26'!Q7</f>
        <v>#REF!</v>
      </c>
      <c r="Q6" s="20" t="e">
        <f>'PRESIDENCIA 25-26'!R7</f>
        <v>#REF!</v>
      </c>
      <c r="R6" s="20" t="e">
        <f>'PRESIDENCIA 25-26'!S7</f>
        <v>#REF!</v>
      </c>
      <c r="S6" s="20" t="e">
        <f>'PRESIDENCIA 25-26'!T7</f>
        <v>#REF!</v>
      </c>
    </row>
    <row r="7" spans="1:19">
      <c r="A7" s="24" t="s">
        <v>31</v>
      </c>
      <c r="B7" s="20">
        <f>'PRESIDENCIA 25-26'!C8</f>
        <v>12</v>
      </c>
      <c r="C7" s="20" t="str">
        <f>'PRESIDENCIA 25-26'!D8</f>
        <v>NÚM. DE CAPACITACIONES</v>
      </c>
      <c r="D7" s="20" t="str">
        <f>'PRESIDENCIA 25-26'!E8</f>
        <v>ASCENDENTE</v>
      </c>
      <c r="E7" s="20" t="str">
        <f>'PRESIDENCIA 25-26'!F8</f>
        <v>PROGRAMA ANUAL DE CAPACITACIONES</v>
      </c>
      <c r="F7" s="25" t="e">
        <f>'PRESIDENCIA 25-26'!G8</f>
        <v>#REF!</v>
      </c>
      <c r="G7" s="20" t="e">
        <f>'PRESIDENCIA 25-26'!H8</f>
        <v>#REF!</v>
      </c>
      <c r="H7" s="20" t="e">
        <f>'PRESIDENCIA 25-26'!I8</f>
        <v>#REF!</v>
      </c>
      <c r="I7" s="20" t="e">
        <f>'PRESIDENCIA 25-26'!J8</f>
        <v>#REF!</v>
      </c>
      <c r="J7" s="20" t="e">
        <f>'PRESIDENCIA 25-26'!K8</f>
        <v>#REF!</v>
      </c>
      <c r="K7" s="20" t="e">
        <f>'PRESIDENCIA 25-26'!L8</f>
        <v>#REF!</v>
      </c>
      <c r="L7" s="20" t="e">
        <f>'PRESIDENCIA 25-26'!M8</f>
        <v>#REF!</v>
      </c>
      <c r="M7" s="20" t="e">
        <f>'PRESIDENCIA 25-26'!N8</f>
        <v>#REF!</v>
      </c>
      <c r="N7" s="20" t="e">
        <f>'PRESIDENCIA 25-26'!O8</f>
        <v>#REF!</v>
      </c>
      <c r="O7" s="20" t="e">
        <f>'PRESIDENCIA 25-26'!P8</f>
        <v>#REF!</v>
      </c>
      <c r="P7" s="20" t="e">
        <f>'PRESIDENCIA 25-26'!Q8</f>
        <v>#REF!</v>
      </c>
      <c r="Q7" s="20" t="e">
        <f>'PRESIDENCIA 25-26'!R8</f>
        <v>#REF!</v>
      </c>
      <c r="R7" s="20" t="e">
        <f>'PRESIDENCIA 25-26'!S8</f>
        <v>#REF!</v>
      </c>
      <c r="S7" s="20" t="e">
        <f>'PRESIDENCIA 25-26'!T8</f>
        <v>#REF!</v>
      </c>
    </row>
    <row r="8" spans="1:19">
      <c r="A8" s="24" t="s">
        <v>33</v>
      </c>
      <c r="B8" s="20">
        <f>'PRESIDENCIA 25-26'!C9</f>
        <v>520</v>
      </c>
      <c r="C8" s="20" t="str">
        <f>'PRESIDENCIA 25-26'!D9</f>
        <v>NÚM. DE NOTAS PUBLICADAS</v>
      </c>
      <c r="D8" s="20" t="str">
        <f>'PRESIDENCIA 25-26'!E9</f>
        <v>ASCENDENTE</v>
      </c>
      <c r="E8" s="20" t="str">
        <f>'PRESIDENCIA 25-26'!F9</f>
        <v>BITACORA OPERATIVA</v>
      </c>
      <c r="F8" s="25" t="e">
        <f>'PRESIDENCIA 25-26'!G9</f>
        <v>#REF!</v>
      </c>
      <c r="G8" s="20" t="e">
        <f>'PRESIDENCIA 25-26'!H9</f>
        <v>#REF!</v>
      </c>
      <c r="H8" s="20" t="e">
        <f>'PRESIDENCIA 25-26'!I9</f>
        <v>#REF!</v>
      </c>
      <c r="I8" s="20" t="e">
        <f>'PRESIDENCIA 25-26'!J9</f>
        <v>#REF!</v>
      </c>
      <c r="J8" s="20" t="e">
        <f>'PRESIDENCIA 25-26'!K9</f>
        <v>#REF!</v>
      </c>
      <c r="K8" s="20" t="e">
        <f>'PRESIDENCIA 25-26'!L9</f>
        <v>#REF!</v>
      </c>
      <c r="L8" s="20" t="e">
        <f>'PRESIDENCIA 25-26'!M9</f>
        <v>#REF!</v>
      </c>
      <c r="M8" s="20" t="e">
        <f>'PRESIDENCIA 25-26'!N9</f>
        <v>#REF!</v>
      </c>
      <c r="N8" s="20" t="e">
        <f>'PRESIDENCIA 25-26'!O9</f>
        <v>#REF!</v>
      </c>
      <c r="O8" s="20" t="e">
        <f>'PRESIDENCIA 25-26'!P9</f>
        <v>#REF!</v>
      </c>
      <c r="P8" s="20" t="e">
        <f>'PRESIDENCIA 25-26'!Q9</f>
        <v>#REF!</v>
      </c>
      <c r="Q8" s="20" t="e">
        <f>'PRESIDENCIA 25-26'!R9</f>
        <v>#REF!</v>
      </c>
      <c r="R8" s="20" t="e">
        <f>'PRESIDENCIA 25-26'!S9</f>
        <v>#REF!</v>
      </c>
      <c r="S8" s="20" t="e">
        <f>'PRESIDENCIA 25-26'!T9</f>
        <v>#REF!</v>
      </c>
    </row>
    <row r="9" spans="1:19">
      <c r="A9" s="24" t="s">
        <v>34</v>
      </c>
      <c r="B9" s="20">
        <f>'PRESIDENCIA 25-26'!C10</f>
        <v>500</v>
      </c>
      <c r="C9" s="20" t="str">
        <f>'PRESIDENCIA 25-26'!D10</f>
        <v>NÚM. DE DISEÑOS REALIZADOS</v>
      </c>
      <c r="D9" s="20" t="str">
        <f>'PRESIDENCIA 25-26'!E10</f>
        <v>ASCENDENTE</v>
      </c>
      <c r="E9" s="20" t="str">
        <f>'PRESIDENCIA 25-26'!F10</f>
        <v>BITACORA OPERATIVA</v>
      </c>
      <c r="F9" s="25" t="e">
        <f>'PRESIDENCIA 25-26'!G10</f>
        <v>#REF!</v>
      </c>
      <c r="G9" s="20" t="e">
        <f>'PRESIDENCIA 25-26'!H10</f>
        <v>#REF!</v>
      </c>
      <c r="H9" s="20" t="e">
        <f>'PRESIDENCIA 25-26'!I10</f>
        <v>#REF!</v>
      </c>
      <c r="I9" s="20" t="e">
        <f>'PRESIDENCIA 25-26'!J10</f>
        <v>#REF!</v>
      </c>
      <c r="J9" s="20" t="e">
        <f>'PRESIDENCIA 25-26'!K10</f>
        <v>#REF!</v>
      </c>
      <c r="K9" s="20" t="e">
        <f>'PRESIDENCIA 25-26'!L10</f>
        <v>#REF!</v>
      </c>
      <c r="L9" s="20" t="e">
        <f>'PRESIDENCIA 25-26'!M10</f>
        <v>#REF!</v>
      </c>
      <c r="M9" s="20" t="e">
        <f>'PRESIDENCIA 25-26'!N10</f>
        <v>#REF!</v>
      </c>
      <c r="N9" s="20" t="e">
        <f>'PRESIDENCIA 25-26'!O10</f>
        <v>#REF!</v>
      </c>
      <c r="O9" s="20" t="e">
        <f>'PRESIDENCIA 25-26'!P10</f>
        <v>#REF!</v>
      </c>
      <c r="P9" s="20" t="e">
        <f>'PRESIDENCIA 25-26'!Q10</f>
        <v>#REF!</v>
      </c>
      <c r="Q9" s="20" t="e">
        <f>'PRESIDENCIA 25-26'!R10</f>
        <v>#REF!</v>
      </c>
      <c r="R9" s="20" t="e">
        <f>'PRESIDENCIA 25-26'!S10</f>
        <v>#REF!</v>
      </c>
      <c r="S9" s="20" t="e">
        <f>'PRESIDENCIA 25-26'!T10</f>
        <v>#REF!</v>
      </c>
    </row>
    <row r="10" spans="1:19">
      <c r="A10" s="24" t="s">
        <v>35</v>
      </c>
      <c r="B10" s="20">
        <f>'PRESIDENCIA 25-26'!C11</f>
        <v>320</v>
      </c>
      <c r="C10" s="20" t="str">
        <f>'PRESIDENCIA 25-26'!D11</f>
        <v>NÚM. DE PUBLICCIONES</v>
      </c>
      <c r="D10" s="20" t="str">
        <f>'PRESIDENCIA 25-26'!E11</f>
        <v>ASCENDENTE</v>
      </c>
      <c r="E10" s="20" t="str">
        <f>'PRESIDENCIA 25-26'!F11</f>
        <v>BITACORA OPERATIVA</v>
      </c>
      <c r="F10" s="25" t="e">
        <f>'PRESIDENCIA 25-26'!G11</f>
        <v>#REF!</v>
      </c>
      <c r="G10" s="20" t="e">
        <f>'PRESIDENCIA 25-26'!H11</f>
        <v>#REF!</v>
      </c>
      <c r="H10" s="20" t="e">
        <f>'PRESIDENCIA 25-26'!I11</f>
        <v>#REF!</v>
      </c>
      <c r="I10" s="20" t="e">
        <f>'PRESIDENCIA 25-26'!J11</f>
        <v>#REF!</v>
      </c>
      <c r="J10" s="20" t="e">
        <f>'PRESIDENCIA 25-26'!K11</f>
        <v>#REF!</v>
      </c>
      <c r="K10" s="20" t="e">
        <f>'PRESIDENCIA 25-26'!L11</f>
        <v>#REF!</v>
      </c>
      <c r="L10" s="20" t="e">
        <f>'PRESIDENCIA 25-26'!M11</f>
        <v>#REF!</v>
      </c>
      <c r="M10" s="20" t="e">
        <f>'PRESIDENCIA 25-26'!N11</f>
        <v>#REF!</v>
      </c>
      <c r="N10" s="20" t="e">
        <f>'PRESIDENCIA 25-26'!O11</f>
        <v>#REF!</v>
      </c>
      <c r="O10" s="20" t="e">
        <f>'PRESIDENCIA 25-26'!P11</f>
        <v>#REF!</v>
      </c>
      <c r="P10" s="20" t="e">
        <f>'PRESIDENCIA 25-26'!Q11</f>
        <v>#REF!</v>
      </c>
      <c r="Q10" s="20" t="e">
        <f>'PRESIDENCIA 25-26'!R11</f>
        <v>#REF!</v>
      </c>
      <c r="R10" s="20" t="e">
        <f>'PRESIDENCIA 25-26'!S11</f>
        <v>#REF!</v>
      </c>
      <c r="S10" s="20" t="e">
        <f>'PRESIDENCIA 25-26'!T11</f>
        <v>#REF!</v>
      </c>
    </row>
    <row r="11" spans="1:19">
      <c r="A11" s="24" t="s">
        <v>37</v>
      </c>
      <c r="B11" s="20">
        <f>'PRESIDENCIA 25-26'!C12</f>
        <v>14</v>
      </c>
      <c r="C11" s="20" t="str">
        <f>'PRESIDENCIA 25-26'!D12</f>
        <v>NÚM. DE PROGRAMAS IMPLEMENTADOS</v>
      </c>
      <c r="D11" s="20" t="str">
        <f>'PRESIDENCIA 25-26'!E12</f>
        <v>ASCENDENTE</v>
      </c>
      <c r="E11" s="20" t="str">
        <f>'PRESIDENCIA 25-26'!F12</f>
        <v>PADRON UNICO DE BENEFICIADOS</v>
      </c>
      <c r="F11" s="25" t="e">
        <f>'PRESIDENCIA 25-26'!G12</f>
        <v>#REF!</v>
      </c>
      <c r="G11" s="20" t="e">
        <f>'PRESIDENCIA 25-26'!H12</f>
        <v>#REF!</v>
      </c>
      <c r="H11" s="20" t="e">
        <f>'PRESIDENCIA 25-26'!I12</f>
        <v>#REF!</v>
      </c>
      <c r="I11" s="20" t="e">
        <f>'PRESIDENCIA 25-26'!J12</f>
        <v>#REF!</v>
      </c>
      <c r="J11" s="20" t="e">
        <f>'PRESIDENCIA 25-26'!K12</f>
        <v>#REF!</v>
      </c>
      <c r="K11" s="20" t="e">
        <f>'PRESIDENCIA 25-26'!L12</f>
        <v>#REF!</v>
      </c>
      <c r="L11" s="20" t="e">
        <f>'PRESIDENCIA 25-26'!M12</f>
        <v>#REF!</v>
      </c>
      <c r="M11" s="20" t="e">
        <f>'PRESIDENCIA 25-26'!N12</f>
        <v>#REF!</v>
      </c>
      <c r="N11" s="20" t="e">
        <f>'PRESIDENCIA 25-26'!O12</f>
        <v>#REF!</v>
      </c>
      <c r="O11" s="20" t="e">
        <f>'PRESIDENCIA 25-26'!P12</f>
        <v>#REF!</v>
      </c>
      <c r="P11" s="20" t="e">
        <f>'PRESIDENCIA 25-26'!Q12</f>
        <v>#REF!</v>
      </c>
      <c r="Q11" s="20" t="e">
        <f>'PRESIDENCIA 25-26'!R12</f>
        <v>#REF!</v>
      </c>
      <c r="R11" s="20" t="e">
        <f>'PRESIDENCIA 25-26'!S12</f>
        <v>#REF!</v>
      </c>
      <c r="S11" s="20" t="e">
        <f>'PRESIDENCIA 25-26'!T12</f>
        <v>#REF!</v>
      </c>
    </row>
    <row r="12" spans="1:19">
      <c r="A12" s="24" t="s">
        <v>38</v>
      </c>
      <c r="B12" s="20">
        <f>'PRESIDENCIA 25-26'!C13</f>
        <v>66</v>
      </c>
      <c r="C12" s="20" t="str">
        <f>'PRESIDENCIA 25-26'!D13</f>
        <v>NUM. PERSONAS</v>
      </c>
      <c r="D12" s="20" t="str">
        <f>'PRESIDENCIA 25-26'!E13</f>
        <v>ASCENDENTE</v>
      </c>
      <c r="E12" s="20" t="str">
        <f>'PRESIDENCIA 25-26'!F13</f>
        <v>PADRON UNICO DE BENEFICIADOS</v>
      </c>
      <c r="F12" s="25" t="e">
        <f>'PRESIDENCIA 25-26'!G13</f>
        <v>#REF!</v>
      </c>
      <c r="G12" s="20" t="e">
        <f>'PRESIDENCIA 25-26'!H13</f>
        <v>#REF!</v>
      </c>
      <c r="H12" s="20" t="e">
        <f>'PRESIDENCIA 25-26'!I13</f>
        <v>#REF!</v>
      </c>
      <c r="I12" s="20" t="e">
        <f>'PRESIDENCIA 25-26'!J13</f>
        <v>#REF!</v>
      </c>
      <c r="J12" s="20" t="e">
        <f>'PRESIDENCIA 25-26'!K13</f>
        <v>#REF!</v>
      </c>
      <c r="K12" s="20" t="e">
        <f>'PRESIDENCIA 25-26'!L13</f>
        <v>#REF!</v>
      </c>
      <c r="L12" s="20" t="e">
        <f>'PRESIDENCIA 25-26'!M13</f>
        <v>#REF!</v>
      </c>
      <c r="M12" s="20" t="e">
        <f>'PRESIDENCIA 25-26'!N13</f>
        <v>#REF!</v>
      </c>
      <c r="N12" s="20" t="e">
        <f>'PRESIDENCIA 25-26'!O13</f>
        <v>#REF!</v>
      </c>
      <c r="O12" s="20" t="e">
        <f>'PRESIDENCIA 25-26'!P13</f>
        <v>#REF!</v>
      </c>
      <c r="P12" s="20" t="e">
        <f>'PRESIDENCIA 25-26'!Q13</f>
        <v>#REF!</v>
      </c>
      <c r="Q12" s="20" t="e">
        <f>'PRESIDENCIA 25-26'!R13</f>
        <v>#REF!</v>
      </c>
      <c r="R12" s="20" t="e">
        <f>'PRESIDENCIA 25-26'!S13</f>
        <v>#REF!</v>
      </c>
      <c r="S12" s="20" t="e">
        <f>'PRESIDENCIA 25-26'!T13</f>
        <v>#REF!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S12"/>
  <sheetViews>
    <sheetView workbookViewId="0">
      <selection activeCell="H3" sqref="H3:T13"/>
    </sheetView>
  </sheetViews>
  <sheetFormatPr baseColWidth="10" defaultColWidth="11.1640625" defaultRowHeight="15" customHeight="1"/>
  <cols>
    <col min="1" max="1" width="39.5" customWidth="1"/>
    <col min="2" max="2" width="16.1640625" customWidth="1"/>
    <col min="3" max="3" width="23.6640625" customWidth="1"/>
    <col min="4" max="4" width="28.1640625" customWidth="1"/>
    <col min="5" max="5" width="26" customWidth="1"/>
    <col min="6" max="6" width="11.1640625" customWidth="1"/>
    <col min="18" max="18" width="12.5" customWidth="1"/>
    <col min="19" max="19" width="16.1640625" customWidth="1"/>
  </cols>
  <sheetData>
    <row r="1" spans="1:19">
      <c r="A1" s="2" t="s">
        <v>5</v>
      </c>
      <c r="B1" s="2" t="s">
        <v>6</v>
      </c>
      <c r="C1" s="2" t="s">
        <v>7</v>
      </c>
      <c r="D1" s="2" t="s">
        <v>8</v>
      </c>
      <c r="E1" s="2" t="s">
        <v>9</v>
      </c>
      <c r="F1" s="2" t="s">
        <v>10</v>
      </c>
      <c r="G1" s="2" t="s">
        <v>11</v>
      </c>
      <c r="H1" s="3" t="s">
        <v>12</v>
      </c>
      <c r="I1" s="3" t="s">
        <v>13</v>
      </c>
      <c r="J1" s="3" t="s">
        <v>14</v>
      </c>
      <c r="K1" s="3" t="s">
        <v>15</v>
      </c>
      <c r="L1" s="3" t="s">
        <v>16</v>
      </c>
      <c r="M1" s="3" t="s">
        <v>17</v>
      </c>
      <c r="N1" s="3" t="s">
        <v>18</v>
      </c>
      <c r="O1" s="3" t="s">
        <v>19</v>
      </c>
      <c r="P1" s="3" t="s">
        <v>20</v>
      </c>
      <c r="Q1" s="3" t="s">
        <v>21</v>
      </c>
      <c r="R1" s="3" t="s">
        <v>22</v>
      </c>
      <c r="S1" s="2" t="s">
        <v>23</v>
      </c>
    </row>
    <row r="2" spans="1:19">
      <c r="A2" s="24" t="s">
        <v>25</v>
      </c>
      <c r="B2" s="20">
        <f>'PRESIDENCIA 26-27'!C3</f>
        <v>180</v>
      </c>
      <c r="C2" s="20" t="str">
        <f>'PRESIDENCIA 26-27'!D3</f>
        <v>CITA</v>
      </c>
      <c r="D2" s="20" t="str">
        <f>'PRESIDENCIA 26-27'!E3</f>
        <v>ASCENDENTE</v>
      </c>
      <c r="E2" s="20" t="str">
        <f>'PRESIDENCIA 26-27'!F3</f>
        <v>BITACORA DE ATENCION</v>
      </c>
      <c r="F2" s="25" t="e">
        <f>'PRESIDENCIA 26-27'!G3</f>
        <v>#REF!</v>
      </c>
      <c r="G2" s="20" t="e">
        <f>'PRESIDENCIA 26-27'!H3</f>
        <v>#REF!</v>
      </c>
      <c r="H2" s="20" t="e">
        <f>'PRESIDENCIA 26-27'!I3</f>
        <v>#REF!</v>
      </c>
      <c r="I2" s="20" t="e">
        <f>'PRESIDENCIA 26-27'!J3</f>
        <v>#REF!</v>
      </c>
      <c r="J2" s="20" t="e">
        <f>'PRESIDENCIA 26-27'!K3</f>
        <v>#REF!</v>
      </c>
      <c r="K2" s="20" t="e">
        <f>'PRESIDENCIA 26-27'!L3</f>
        <v>#REF!</v>
      </c>
      <c r="L2" s="20" t="e">
        <f>'PRESIDENCIA 26-27'!M3</f>
        <v>#REF!</v>
      </c>
      <c r="M2" s="20" t="e">
        <f>'PRESIDENCIA 26-27'!N3</f>
        <v>#REF!</v>
      </c>
      <c r="N2" s="20" t="e">
        <f>'PRESIDENCIA 26-27'!O3</f>
        <v>#REF!</v>
      </c>
      <c r="O2" s="20" t="e">
        <f>'PRESIDENCIA 26-27'!P3</f>
        <v>#REF!</v>
      </c>
      <c r="P2" s="20" t="e">
        <f>'PRESIDENCIA 26-27'!Q3</f>
        <v>#REF!</v>
      </c>
      <c r="Q2" s="20" t="e">
        <f>'PRESIDENCIA 26-27'!R3</f>
        <v>#REF!</v>
      </c>
      <c r="R2" s="20" t="e">
        <f>'PRESIDENCIA 26-27'!S3</f>
        <v>#REF!</v>
      </c>
      <c r="S2" s="20" t="e">
        <f>'PRESIDENCIA 26-27'!T3</f>
        <v>#REF!</v>
      </c>
    </row>
    <row r="3" spans="1:19">
      <c r="A3" s="24" t="s">
        <v>26</v>
      </c>
      <c r="B3" s="20">
        <f>'PRESIDENCIA 26-27'!C4</f>
        <v>780</v>
      </c>
      <c r="C3" s="20" t="str">
        <f>'PRESIDENCIA 26-27'!D4</f>
        <v>NÚM. DE PERSONAS</v>
      </c>
      <c r="D3" s="20" t="str">
        <f>'PRESIDENCIA 26-27'!E4</f>
        <v>ASCENDENTE</v>
      </c>
      <c r="E3" s="20" t="str">
        <f>'PRESIDENCIA 26-27'!F4</f>
        <v>BITACORA DE ATENCION</v>
      </c>
      <c r="F3" s="25" t="e">
        <f>'PRESIDENCIA 26-27'!G4</f>
        <v>#REF!</v>
      </c>
      <c r="G3" s="20" t="e">
        <f>'PRESIDENCIA 26-27'!H4</f>
        <v>#REF!</v>
      </c>
      <c r="H3" s="20" t="e">
        <f>'PRESIDENCIA 26-27'!I4</f>
        <v>#REF!</v>
      </c>
      <c r="I3" s="20" t="e">
        <f>'PRESIDENCIA 26-27'!J4</f>
        <v>#REF!</v>
      </c>
      <c r="J3" s="20" t="e">
        <f>'PRESIDENCIA 26-27'!K4</f>
        <v>#REF!</v>
      </c>
      <c r="K3" s="20" t="e">
        <f>'PRESIDENCIA 26-27'!L4</f>
        <v>#REF!</v>
      </c>
      <c r="L3" s="20" t="e">
        <f>'PRESIDENCIA 26-27'!M4</f>
        <v>#REF!</v>
      </c>
      <c r="M3" s="20" t="e">
        <f>'PRESIDENCIA 26-27'!N4</f>
        <v>#REF!</v>
      </c>
      <c r="N3" s="20" t="e">
        <f>'PRESIDENCIA 26-27'!O4</f>
        <v>#REF!</v>
      </c>
      <c r="O3" s="20" t="e">
        <f>'PRESIDENCIA 26-27'!P4</f>
        <v>#REF!</v>
      </c>
      <c r="P3" s="20" t="e">
        <f>'PRESIDENCIA 26-27'!Q4</f>
        <v>#REF!</v>
      </c>
      <c r="Q3" s="20" t="e">
        <f>'PRESIDENCIA 26-27'!R4</f>
        <v>#REF!</v>
      </c>
      <c r="R3" s="20" t="e">
        <f>'PRESIDENCIA 26-27'!S4</f>
        <v>#REF!</v>
      </c>
      <c r="S3" s="20" t="e">
        <f>'PRESIDENCIA 26-27'!T4</f>
        <v>#REF!</v>
      </c>
    </row>
    <row r="4" spans="1:19">
      <c r="A4" s="24" t="s">
        <v>26</v>
      </c>
      <c r="B4" s="20">
        <f>'PRESIDENCIA 26-27'!C5</f>
        <v>780</v>
      </c>
      <c r="C4" s="20" t="str">
        <f>'PRESIDENCIA 26-27'!D5</f>
        <v>NUM. PERSONAS</v>
      </c>
      <c r="D4" s="20" t="str">
        <f>'PRESIDENCIA 26-27'!E5</f>
        <v>ASCENDENTE</v>
      </c>
      <c r="E4" s="20" t="str">
        <f>'PRESIDENCIA 26-27'!F5</f>
        <v>BITACORA DE ATENCION</v>
      </c>
      <c r="F4" s="25" t="e">
        <f>'PRESIDENCIA 26-27'!G5</f>
        <v>#REF!</v>
      </c>
      <c r="G4" s="20" t="e">
        <f>'PRESIDENCIA 26-27'!H5</f>
        <v>#REF!</v>
      </c>
      <c r="H4" s="20" t="e">
        <f>'PRESIDENCIA 26-27'!I5</f>
        <v>#REF!</v>
      </c>
      <c r="I4" s="20" t="e">
        <f>'PRESIDENCIA 26-27'!J5</f>
        <v>#REF!</v>
      </c>
      <c r="J4" s="20" t="e">
        <f>'PRESIDENCIA 26-27'!K5</f>
        <v>#REF!</v>
      </c>
      <c r="K4" s="20" t="e">
        <f>'PRESIDENCIA 26-27'!L5</f>
        <v>#REF!</v>
      </c>
      <c r="L4" s="20" t="e">
        <f>'PRESIDENCIA 26-27'!M5</f>
        <v>#REF!</v>
      </c>
      <c r="M4" s="20" t="e">
        <f>'PRESIDENCIA 26-27'!N5</f>
        <v>#REF!</v>
      </c>
      <c r="N4" s="20" t="e">
        <f>'PRESIDENCIA 26-27'!O5</f>
        <v>#REF!</v>
      </c>
      <c r="O4" s="20" t="e">
        <f>'PRESIDENCIA 26-27'!P5</f>
        <v>#REF!</v>
      </c>
      <c r="P4" s="20" t="e">
        <f>'PRESIDENCIA 26-27'!Q5</f>
        <v>#REF!</v>
      </c>
      <c r="Q4" s="20" t="e">
        <f>'PRESIDENCIA 26-27'!R5</f>
        <v>#REF!</v>
      </c>
      <c r="R4" s="20" t="e">
        <f>'PRESIDENCIA 26-27'!S5</f>
        <v>#REF!</v>
      </c>
      <c r="S4" s="20" t="e">
        <f>'PRESIDENCIA 26-27'!T5</f>
        <v>#REF!</v>
      </c>
    </row>
    <row r="5" spans="1:19">
      <c r="A5" s="24" t="s">
        <v>28</v>
      </c>
      <c r="B5" s="20">
        <f>'PRESIDENCIA 26-27'!C6</f>
        <v>100</v>
      </c>
      <c r="C5" s="20" t="str">
        <f>'PRESIDENCIA 26-27'!D6</f>
        <v>NÚM. ACUERDOS</v>
      </c>
      <c r="D5" s="20" t="str">
        <f>'PRESIDENCIA 26-27'!E6</f>
        <v>ASCENDENTE</v>
      </c>
      <c r="E5" s="20" t="str">
        <f>'PRESIDENCIA 26-27'!F6</f>
        <v>MINUTA DE REUNION</v>
      </c>
      <c r="F5" s="25" t="e">
        <f>'PRESIDENCIA 26-27'!G6</f>
        <v>#REF!</v>
      </c>
      <c r="G5" s="20" t="e">
        <f>'PRESIDENCIA 26-27'!H6</f>
        <v>#REF!</v>
      </c>
      <c r="H5" s="20" t="e">
        <f>'PRESIDENCIA 26-27'!I6</f>
        <v>#REF!</v>
      </c>
      <c r="I5" s="20" t="e">
        <f>'PRESIDENCIA 26-27'!J6</f>
        <v>#REF!</v>
      </c>
      <c r="J5" s="20" t="e">
        <f>'PRESIDENCIA 26-27'!K6</f>
        <v>#REF!</v>
      </c>
      <c r="K5" s="20" t="e">
        <f>'PRESIDENCIA 26-27'!L6</f>
        <v>#REF!</v>
      </c>
      <c r="L5" s="20" t="e">
        <f>'PRESIDENCIA 26-27'!M6</f>
        <v>#REF!</v>
      </c>
      <c r="M5" s="20" t="e">
        <f>'PRESIDENCIA 26-27'!N6</f>
        <v>#REF!</v>
      </c>
      <c r="N5" s="20" t="e">
        <f>'PRESIDENCIA 26-27'!O6</f>
        <v>#REF!</v>
      </c>
      <c r="O5" s="20" t="e">
        <f>'PRESIDENCIA 26-27'!P6</f>
        <v>#REF!</v>
      </c>
      <c r="P5" s="20" t="e">
        <f>'PRESIDENCIA 26-27'!Q6</f>
        <v>#REF!</v>
      </c>
      <c r="Q5" s="20" t="e">
        <f>'PRESIDENCIA 26-27'!R6</f>
        <v>#REF!</v>
      </c>
      <c r="R5" s="20" t="e">
        <f>'PRESIDENCIA 26-27'!S6</f>
        <v>#REF!</v>
      </c>
      <c r="S5" s="20" t="e">
        <f>'PRESIDENCIA 26-27'!T6</f>
        <v>#REF!</v>
      </c>
    </row>
    <row r="6" spans="1:19">
      <c r="A6" s="24" t="s">
        <v>30</v>
      </c>
      <c r="B6" s="20">
        <f>'PRESIDENCIA 26-27'!C7</f>
        <v>350</v>
      </c>
      <c r="C6" s="20" t="str">
        <f>'PRESIDENCIA 26-27'!D7</f>
        <v>NÚM. DE SOLICITUDES</v>
      </c>
      <c r="D6" s="20" t="str">
        <f>'PRESIDENCIA 26-27'!E7</f>
        <v>ASCENDENTE</v>
      </c>
      <c r="E6" s="20" t="str">
        <f>'PRESIDENCIA 26-27'!F7</f>
        <v>PNT</v>
      </c>
      <c r="F6" s="25" t="e">
        <f>'PRESIDENCIA 26-27'!G7</f>
        <v>#REF!</v>
      </c>
      <c r="G6" s="20" t="e">
        <f>'PRESIDENCIA 26-27'!H7</f>
        <v>#REF!</v>
      </c>
      <c r="H6" s="20" t="e">
        <f>'PRESIDENCIA 26-27'!I7</f>
        <v>#REF!</v>
      </c>
      <c r="I6" s="20" t="e">
        <f>'PRESIDENCIA 26-27'!J7</f>
        <v>#REF!</v>
      </c>
      <c r="J6" s="20" t="e">
        <f>'PRESIDENCIA 26-27'!K7</f>
        <v>#REF!</v>
      </c>
      <c r="K6" s="20" t="e">
        <f>'PRESIDENCIA 26-27'!L7</f>
        <v>#REF!</v>
      </c>
      <c r="L6" s="20" t="e">
        <f>'PRESIDENCIA 26-27'!M7</f>
        <v>#REF!</v>
      </c>
      <c r="M6" s="20" t="e">
        <f>'PRESIDENCIA 26-27'!N7</f>
        <v>#REF!</v>
      </c>
      <c r="N6" s="20" t="e">
        <f>'PRESIDENCIA 26-27'!O7</f>
        <v>#REF!</v>
      </c>
      <c r="O6" s="20" t="e">
        <f>'PRESIDENCIA 26-27'!P7</f>
        <v>#REF!</v>
      </c>
      <c r="P6" s="20" t="e">
        <f>'PRESIDENCIA 26-27'!Q7</f>
        <v>#REF!</v>
      </c>
      <c r="Q6" s="20" t="e">
        <f>'PRESIDENCIA 26-27'!R7</f>
        <v>#REF!</v>
      </c>
      <c r="R6" s="20" t="e">
        <f>'PRESIDENCIA 26-27'!S7</f>
        <v>#REF!</v>
      </c>
      <c r="S6" s="20" t="e">
        <f>'PRESIDENCIA 26-27'!T7</f>
        <v>#REF!</v>
      </c>
    </row>
    <row r="7" spans="1:19">
      <c r="A7" s="24" t="s">
        <v>31</v>
      </c>
      <c r="B7" s="20">
        <f>'PRESIDENCIA 26-27'!C8</f>
        <v>12</v>
      </c>
      <c r="C7" s="20" t="str">
        <f>'PRESIDENCIA 26-27'!D8</f>
        <v>NÚM. DE CAPACITACIONES</v>
      </c>
      <c r="D7" s="20" t="str">
        <f>'PRESIDENCIA 26-27'!E8</f>
        <v>ASCENDENTE</v>
      </c>
      <c r="E7" s="20" t="str">
        <f>'PRESIDENCIA 26-27'!F8</f>
        <v>PROGRAMA ANUAL DE CAPACITACIONES</v>
      </c>
      <c r="F7" s="25" t="e">
        <f>'PRESIDENCIA 26-27'!G8</f>
        <v>#REF!</v>
      </c>
      <c r="G7" s="20" t="e">
        <f>'PRESIDENCIA 26-27'!H8</f>
        <v>#REF!</v>
      </c>
      <c r="H7" s="20" t="e">
        <f>'PRESIDENCIA 26-27'!I8</f>
        <v>#REF!</v>
      </c>
      <c r="I7" s="20" t="e">
        <f>'PRESIDENCIA 26-27'!J8</f>
        <v>#REF!</v>
      </c>
      <c r="J7" s="20" t="e">
        <f>'PRESIDENCIA 26-27'!K8</f>
        <v>#REF!</v>
      </c>
      <c r="K7" s="20" t="e">
        <f>'PRESIDENCIA 26-27'!L8</f>
        <v>#REF!</v>
      </c>
      <c r="L7" s="20" t="e">
        <f>'PRESIDENCIA 26-27'!M8</f>
        <v>#REF!</v>
      </c>
      <c r="M7" s="20" t="e">
        <f>'PRESIDENCIA 26-27'!N8</f>
        <v>#REF!</v>
      </c>
      <c r="N7" s="20" t="e">
        <f>'PRESIDENCIA 26-27'!O8</f>
        <v>#REF!</v>
      </c>
      <c r="O7" s="20" t="e">
        <f>'PRESIDENCIA 26-27'!P8</f>
        <v>#REF!</v>
      </c>
      <c r="P7" s="20" t="e">
        <f>'PRESIDENCIA 26-27'!Q8</f>
        <v>#REF!</v>
      </c>
      <c r="Q7" s="20" t="e">
        <f>'PRESIDENCIA 26-27'!R8</f>
        <v>#REF!</v>
      </c>
      <c r="R7" s="20" t="e">
        <f>'PRESIDENCIA 26-27'!S8</f>
        <v>#REF!</v>
      </c>
      <c r="S7" s="20" t="e">
        <f>'PRESIDENCIA 26-27'!T8</f>
        <v>#REF!</v>
      </c>
    </row>
    <row r="8" spans="1:19">
      <c r="A8" s="24" t="s">
        <v>33</v>
      </c>
      <c r="B8" s="20">
        <f>'PRESIDENCIA 26-27'!C9</f>
        <v>520</v>
      </c>
      <c r="C8" s="20" t="str">
        <f>'PRESIDENCIA 26-27'!D9</f>
        <v>NÚM. DE NOTAS PUBLICADAS</v>
      </c>
      <c r="D8" s="20" t="str">
        <f>'PRESIDENCIA 26-27'!E9</f>
        <v>ASCENDENTE</v>
      </c>
      <c r="E8" s="20" t="str">
        <f>'PRESIDENCIA 26-27'!F9</f>
        <v>BITACORA OPERATIVA</v>
      </c>
      <c r="F8" s="25" t="e">
        <f>'PRESIDENCIA 26-27'!G9</f>
        <v>#REF!</v>
      </c>
      <c r="G8" s="20" t="e">
        <f>'PRESIDENCIA 26-27'!H9</f>
        <v>#REF!</v>
      </c>
      <c r="H8" s="20" t="e">
        <f>'PRESIDENCIA 26-27'!I9</f>
        <v>#REF!</v>
      </c>
      <c r="I8" s="20" t="e">
        <f>'PRESIDENCIA 26-27'!J9</f>
        <v>#REF!</v>
      </c>
      <c r="J8" s="20" t="e">
        <f>'PRESIDENCIA 26-27'!K9</f>
        <v>#REF!</v>
      </c>
      <c r="K8" s="20" t="e">
        <f>'PRESIDENCIA 26-27'!L9</f>
        <v>#REF!</v>
      </c>
      <c r="L8" s="20" t="e">
        <f>'PRESIDENCIA 26-27'!M9</f>
        <v>#REF!</v>
      </c>
      <c r="M8" s="20" t="e">
        <f>'PRESIDENCIA 26-27'!N9</f>
        <v>#REF!</v>
      </c>
      <c r="N8" s="20" t="e">
        <f>'PRESIDENCIA 26-27'!O9</f>
        <v>#REF!</v>
      </c>
      <c r="O8" s="20" t="e">
        <f>'PRESIDENCIA 26-27'!P9</f>
        <v>#REF!</v>
      </c>
      <c r="P8" s="20" t="e">
        <f>'PRESIDENCIA 26-27'!Q9</f>
        <v>#REF!</v>
      </c>
      <c r="Q8" s="20" t="e">
        <f>'PRESIDENCIA 26-27'!R9</f>
        <v>#REF!</v>
      </c>
      <c r="R8" s="20" t="e">
        <f>'PRESIDENCIA 26-27'!S9</f>
        <v>#REF!</v>
      </c>
      <c r="S8" s="20" t="e">
        <f>'PRESIDENCIA 26-27'!T9</f>
        <v>#REF!</v>
      </c>
    </row>
    <row r="9" spans="1:19">
      <c r="A9" s="24" t="s">
        <v>34</v>
      </c>
      <c r="B9" s="20">
        <f>'PRESIDENCIA 26-27'!C10</f>
        <v>500</v>
      </c>
      <c r="C9" s="20" t="str">
        <f>'PRESIDENCIA 26-27'!D10</f>
        <v>NÚM. DE DISEÑOS REALIZADOS</v>
      </c>
      <c r="D9" s="20" t="str">
        <f>'PRESIDENCIA 26-27'!E10</f>
        <v>ASCENDENTE</v>
      </c>
      <c r="E9" s="20" t="str">
        <f>'PRESIDENCIA 26-27'!F10</f>
        <v>BITACORA OPERATIVA</v>
      </c>
      <c r="F9" s="25" t="e">
        <f>'PRESIDENCIA 26-27'!G10</f>
        <v>#REF!</v>
      </c>
      <c r="G9" s="20" t="e">
        <f>'PRESIDENCIA 26-27'!H10</f>
        <v>#REF!</v>
      </c>
      <c r="H9" s="20" t="e">
        <f>'PRESIDENCIA 26-27'!I10</f>
        <v>#REF!</v>
      </c>
      <c r="I9" s="20" t="e">
        <f>'PRESIDENCIA 26-27'!J10</f>
        <v>#REF!</v>
      </c>
      <c r="J9" s="20" t="e">
        <f>'PRESIDENCIA 26-27'!K10</f>
        <v>#REF!</v>
      </c>
      <c r="K9" s="20" t="e">
        <f>'PRESIDENCIA 26-27'!L10</f>
        <v>#REF!</v>
      </c>
      <c r="L9" s="20" t="e">
        <f>'PRESIDENCIA 26-27'!M10</f>
        <v>#REF!</v>
      </c>
      <c r="M9" s="20" t="e">
        <f>'PRESIDENCIA 26-27'!N10</f>
        <v>#REF!</v>
      </c>
      <c r="N9" s="20" t="e">
        <f>'PRESIDENCIA 26-27'!O10</f>
        <v>#REF!</v>
      </c>
      <c r="O9" s="20" t="e">
        <f>'PRESIDENCIA 26-27'!P10</f>
        <v>#REF!</v>
      </c>
      <c r="P9" s="20" t="e">
        <f>'PRESIDENCIA 26-27'!Q10</f>
        <v>#REF!</v>
      </c>
      <c r="Q9" s="20" t="e">
        <f>'PRESIDENCIA 26-27'!R10</f>
        <v>#REF!</v>
      </c>
      <c r="R9" s="20" t="e">
        <f>'PRESIDENCIA 26-27'!S10</f>
        <v>#REF!</v>
      </c>
      <c r="S9" s="20" t="e">
        <f>'PRESIDENCIA 26-27'!T10</f>
        <v>#REF!</v>
      </c>
    </row>
    <row r="10" spans="1:19">
      <c r="A10" s="24" t="s">
        <v>35</v>
      </c>
      <c r="B10" s="20">
        <f>'PRESIDENCIA 26-27'!C11</f>
        <v>320</v>
      </c>
      <c r="C10" s="20" t="str">
        <f>'PRESIDENCIA 26-27'!D11</f>
        <v>NÚM. DE PUBLICCIONES</v>
      </c>
      <c r="D10" s="20" t="str">
        <f>'PRESIDENCIA 26-27'!E11</f>
        <v>ASCENDENTE</v>
      </c>
      <c r="E10" s="20" t="str">
        <f>'PRESIDENCIA 26-27'!F11</f>
        <v>BITACORA OPERATIVA</v>
      </c>
      <c r="F10" s="25" t="e">
        <f>'PRESIDENCIA 26-27'!G11</f>
        <v>#REF!</v>
      </c>
      <c r="G10" s="20" t="e">
        <f>'PRESIDENCIA 26-27'!H11</f>
        <v>#REF!</v>
      </c>
      <c r="H10" s="20" t="e">
        <f>'PRESIDENCIA 26-27'!I11</f>
        <v>#REF!</v>
      </c>
      <c r="I10" s="20" t="e">
        <f>'PRESIDENCIA 26-27'!J11</f>
        <v>#REF!</v>
      </c>
      <c r="J10" s="20" t="e">
        <f>'PRESIDENCIA 26-27'!K11</f>
        <v>#REF!</v>
      </c>
      <c r="K10" s="20" t="e">
        <f>'PRESIDENCIA 26-27'!L11</f>
        <v>#REF!</v>
      </c>
      <c r="L10" s="20" t="e">
        <f>'PRESIDENCIA 26-27'!M11</f>
        <v>#REF!</v>
      </c>
      <c r="M10" s="20" t="e">
        <f>'PRESIDENCIA 26-27'!N11</f>
        <v>#REF!</v>
      </c>
      <c r="N10" s="20" t="e">
        <f>'PRESIDENCIA 26-27'!O11</f>
        <v>#REF!</v>
      </c>
      <c r="O10" s="20" t="e">
        <f>'PRESIDENCIA 26-27'!P11</f>
        <v>#REF!</v>
      </c>
      <c r="P10" s="20" t="e">
        <f>'PRESIDENCIA 26-27'!Q11</f>
        <v>#REF!</v>
      </c>
      <c r="Q10" s="20" t="e">
        <f>'PRESIDENCIA 26-27'!R11</f>
        <v>#REF!</v>
      </c>
      <c r="R10" s="20" t="e">
        <f>'PRESIDENCIA 26-27'!S11</f>
        <v>#REF!</v>
      </c>
      <c r="S10" s="20" t="e">
        <f>'PRESIDENCIA 26-27'!T11</f>
        <v>#REF!</v>
      </c>
    </row>
    <row r="11" spans="1:19">
      <c r="A11" s="24" t="s">
        <v>37</v>
      </c>
      <c r="B11" s="20">
        <f>'PRESIDENCIA 26-27'!C12</f>
        <v>14</v>
      </c>
      <c r="C11" s="20" t="str">
        <f>'PRESIDENCIA 26-27'!D12</f>
        <v>NÚM. DE PROGRAMAS IMPLEMENTADOS</v>
      </c>
      <c r="D11" s="20" t="str">
        <f>'PRESIDENCIA 26-27'!E12</f>
        <v>ASCENDENTE</v>
      </c>
      <c r="E11" s="20" t="str">
        <f>'PRESIDENCIA 26-27'!F12</f>
        <v>PADRON UNICO DE BENEFICIADOS</v>
      </c>
      <c r="F11" s="25" t="e">
        <f>'PRESIDENCIA 26-27'!G12</f>
        <v>#REF!</v>
      </c>
      <c r="G11" s="20" t="e">
        <f>'PRESIDENCIA 26-27'!H12</f>
        <v>#REF!</v>
      </c>
      <c r="H11" s="20" t="e">
        <f>'PRESIDENCIA 26-27'!I12</f>
        <v>#REF!</v>
      </c>
      <c r="I11" s="20" t="e">
        <f>'PRESIDENCIA 26-27'!J12</f>
        <v>#REF!</v>
      </c>
      <c r="J11" s="20" t="e">
        <f>'PRESIDENCIA 26-27'!K12</f>
        <v>#REF!</v>
      </c>
      <c r="K11" s="20" t="e">
        <f>'PRESIDENCIA 26-27'!L12</f>
        <v>#REF!</v>
      </c>
      <c r="L11" s="20" t="e">
        <f>'PRESIDENCIA 26-27'!M12</f>
        <v>#REF!</v>
      </c>
      <c r="M11" s="20" t="e">
        <f>'PRESIDENCIA 26-27'!N12</f>
        <v>#REF!</v>
      </c>
      <c r="N11" s="20" t="e">
        <f>'PRESIDENCIA 26-27'!O12</f>
        <v>#REF!</v>
      </c>
      <c r="O11" s="20" t="e">
        <f>'PRESIDENCIA 26-27'!P12</f>
        <v>#REF!</v>
      </c>
      <c r="P11" s="20" t="e">
        <f>'PRESIDENCIA 26-27'!Q12</f>
        <v>#REF!</v>
      </c>
      <c r="Q11" s="20" t="e">
        <f>'PRESIDENCIA 26-27'!R12</f>
        <v>#REF!</v>
      </c>
      <c r="R11" s="20" t="e">
        <f>'PRESIDENCIA 26-27'!S12</f>
        <v>#REF!</v>
      </c>
      <c r="S11" s="20" t="e">
        <f>'PRESIDENCIA 26-27'!T12</f>
        <v>#REF!</v>
      </c>
    </row>
    <row r="12" spans="1:19">
      <c r="A12" s="24" t="s">
        <v>38</v>
      </c>
      <c r="B12" s="20">
        <f>'PRESIDENCIA 26-27'!C13</f>
        <v>66</v>
      </c>
      <c r="C12" s="20" t="str">
        <f>'PRESIDENCIA 26-27'!D13</f>
        <v>NUM. PERSONAS</v>
      </c>
      <c r="D12" s="20" t="str">
        <f>'PRESIDENCIA 26-27'!E13</f>
        <v>ASCENDENTE</v>
      </c>
      <c r="E12" s="20" t="str">
        <f>'PRESIDENCIA 26-27'!F13</f>
        <v>PADRON UNICO DE BENEFICIADOS</v>
      </c>
      <c r="F12" s="25" t="e">
        <f>'PRESIDENCIA 26-27'!G13</f>
        <v>#REF!</v>
      </c>
      <c r="G12" s="20" t="e">
        <f>'PRESIDENCIA 26-27'!H13</f>
        <v>#REF!</v>
      </c>
      <c r="H12" s="20" t="e">
        <f>'PRESIDENCIA 26-27'!I13</f>
        <v>#REF!</v>
      </c>
      <c r="I12" s="20" t="e">
        <f>'PRESIDENCIA 26-27'!J13</f>
        <v>#REF!</v>
      </c>
      <c r="J12" s="20" t="e">
        <f>'PRESIDENCIA 26-27'!K13</f>
        <v>#REF!</v>
      </c>
      <c r="K12" s="20" t="e">
        <f>'PRESIDENCIA 26-27'!L13</f>
        <v>#REF!</v>
      </c>
      <c r="L12" s="20" t="e">
        <f>'PRESIDENCIA 26-27'!M13</f>
        <v>#REF!</v>
      </c>
      <c r="M12" s="20" t="e">
        <f>'PRESIDENCIA 26-27'!N13</f>
        <v>#REF!</v>
      </c>
      <c r="N12" s="20" t="e">
        <f>'PRESIDENCIA 26-27'!O13</f>
        <v>#REF!</v>
      </c>
      <c r="O12" s="20" t="e">
        <f>'PRESIDENCIA 26-27'!P13</f>
        <v>#REF!</v>
      </c>
      <c r="P12" s="20" t="e">
        <f>'PRESIDENCIA 26-27'!Q13</f>
        <v>#REF!</v>
      </c>
      <c r="Q12" s="20" t="e">
        <f>'PRESIDENCIA 26-27'!R13</f>
        <v>#REF!</v>
      </c>
      <c r="R12" s="20" t="e">
        <f>'PRESIDENCIA 26-27'!S13</f>
        <v>#REF!</v>
      </c>
      <c r="S12" s="20" t="e">
        <f>'PRESIDENCIA 26-27'!T13</f>
        <v>#REF!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1:Z1000"/>
  <sheetViews>
    <sheetView workbookViewId="0">
      <selection activeCell="H3" sqref="H3:T13"/>
    </sheetView>
  </sheetViews>
  <sheetFormatPr baseColWidth="10" defaultColWidth="11.1640625" defaultRowHeight="15" customHeight="1"/>
  <cols>
    <col min="1" max="26" width="15.6640625" customWidth="1"/>
  </cols>
  <sheetData>
    <row r="1" spans="1:26">
      <c r="A1" s="26" t="str">
        <f ca="1">IFERROR(__xludf.DUMMYFUNCTION("IMPORTRANGE(""https://docs.google.com/spreadsheets/d/1X4nNF1skS4-mQNPqsz6I8bvQQWqx_kTBRY5jVMx14L4/edit?resourcekey=&amp;gid=1799052724#gid=1799052724"",""BD PRESIDENCIA!A1:U"")"),"Marca temporal")</f>
        <v>Marca temporal</v>
      </c>
      <c r="B1" s="18" t="str">
        <f ca="1">IFERROR(__xludf.DUMMYFUNCTION("""COMPUTED_VALUE"""),"PERIODO ADMINISTRATIVO")</f>
        <v>PERIODO ADMINISTRATIVO</v>
      </c>
      <c r="C1" s="18" t="str">
        <f ca="1">IFERROR(__xludf.DUMMYFUNCTION("""COMPUTED_VALUE"""),"MES A REPOTAR")</f>
        <v>MES A REPOTAR</v>
      </c>
      <c r="D1" s="18" t="str">
        <f ca="1">IFERROR(__xludf.DUMMYFUNCTION("""COMPUTED_VALUE"""),"DEPARTAMENTO")</f>
        <v>DEPARTAMENTO</v>
      </c>
      <c r="E1" s="18" t="str">
        <f ca="1">IFERROR(__xludf.DUMMYFUNCTION("""COMPUTED_VALUE"""),"CITAS AGENDADAS")</f>
        <v>CITAS AGENDADAS</v>
      </c>
      <c r="F1" s="18" t="str">
        <f ca="1">IFERROR(__xludf.DUMMYFUNCTION("""COMPUTED_VALUE"""),"PERSONAS ATENDIDAS ")</f>
        <v xml:space="preserve">PERSONAS ATENDIDAS </v>
      </c>
      <c r="G1" s="18" t="str">
        <f ca="1">IFERROR(__xludf.DUMMYFUNCTION("""COMPUTED_VALUE"""),"PERSONAS ATENDIDAS")</f>
        <v>PERSONAS ATENDIDAS</v>
      </c>
      <c r="H1" s="18" t="str">
        <f ca="1">IFERROR(__xludf.DUMMYFUNCTION("""COMPUTED_VALUE"""),"ACUERDOS")</f>
        <v>ACUERDOS</v>
      </c>
      <c r="I1" s="18" t="str">
        <f ca="1">IFERROR(__xludf.DUMMYFUNCTION("""COMPUTED_VALUE"""),"SOLICITUDES DE INFORMACION ATENDIDAS")</f>
        <v>SOLICITUDES DE INFORMACION ATENDIDAS</v>
      </c>
      <c r="J1" s="18" t="str">
        <f ca="1">IFERROR(__xludf.DUMMYFUNCTION("""COMPUTED_VALUE"""),"CAPACITACIONES TRANSPARENCIA")</f>
        <v>CAPACITACIONES TRANSPARENCIA</v>
      </c>
      <c r="K1" s="18" t="str">
        <f ca="1">IFERROR(__xludf.DUMMYFUNCTION("""COMPUTED_VALUE"""),"NOTAS (COBERTURA DE EVENTOS)")</f>
        <v>NOTAS (COBERTURA DE EVENTOS)</v>
      </c>
      <c r="L1" s="18" t="str">
        <f ca="1">IFERROR(__xludf.DUMMYFUNCTION("""COMPUTED_VALUE"""),"DISEÑOS GENERADOS")</f>
        <v>DISEÑOS GENERADOS</v>
      </c>
      <c r="M1" s="18" t="str">
        <f ca="1">IFERROR(__xludf.DUMMYFUNCTION("""COMPUTED_VALUE"""),"PUBLICACIONES REALIZADAS")</f>
        <v>PUBLICACIONES REALIZADAS</v>
      </c>
      <c r="N1" s="18" t="str">
        <f ca="1">IFERROR(__xludf.DUMMYFUNCTION("""COMPUTED_VALUE"""),"PROGRAMAS IMPLEMENTADOS")</f>
        <v>PROGRAMAS IMPLEMENTADOS</v>
      </c>
      <c r="O1" s="18" t="str">
        <f ca="1">IFERROR(__xludf.DUMMYFUNCTION("""COMPUTED_VALUE"""),"PERSONAS BENEFICIADAS")</f>
        <v>PERSONAS BENEFICIADAS</v>
      </c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>
      <c r="A2" s="26">
        <f ca="1">IFERROR(__xludf.DUMMYFUNCTION("""COMPUTED_VALUE"""),45747.4994422222)</f>
        <v>45747.499442222201</v>
      </c>
      <c r="B2" s="18" t="str">
        <f ca="1">IFERROR(__xludf.DUMMYFUNCTION("""COMPUTED_VALUE"""),"OCTUBRE 2024 - SEPTIEMBRE 2025")</f>
        <v>OCTUBRE 2024 - SEPTIEMBRE 2025</v>
      </c>
      <c r="C2" s="18" t="str">
        <f ca="1">IFERROR(__xludf.DUMMYFUNCTION("""COMPUTED_VALUE"""),"ENERO")</f>
        <v>ENERO</v>
      </c>
      <c r="D2" s="18" t="str">
        <f ca="1">IFERROR(__xludf.DUMMYFUNCTION("""COMPUTED_VALUE"""),"PRESIDENCIA")</f>
        <v>PRESIDENCIA</v>
      </c>
      <c r="E2" s="18">
        <f ca="1">IFERROR(__xludf.DUMMYFUNCTION("""COMPUTED_VALUE"""),50)</f>
        <v>50</v>
      </c>
      <c r="F2" s="18">
        <f ca="1">IFERROR(__xludf.DUMMYFUNCTION("""COMPUTED_VALUE"""),30)</f>
        <v>30</v>
      </c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>
      <c r="A3" s="26">
        <f ca="1">IFERROR(__xludf.DUMMYFUNCTION("""COMPUTED_VALUE"""),45761.5531528125)</f>
        <v>45761.553152812499</v>
      </c>
      <c r="B3" s="18" t="str">
        <f ca="1">IFERROR(__xludf.DUMMYFUNCTION("""COMPUTED_VALUE"""),"OCTUBRE 2024 - SEPTIEMBRE 2025")</f>
        <v>OCTUBRE 2024 - SEPTIEMBRE 2025</v>
      </c>
      <c r="C3" s="18" t="str">
        <f ca="1">IFERROR(__xludf.DUMMYFUNCTION("""COMPUTED_VALUE"""),"OCTUBRE")</f>
        <v>OCTUBRE</v>
      </c>
      <c r="D3" s="18" t="str">
        <f ca="1">IFERROR(__xludf.DUMMYFUNCTION("""COMPUTED_VALUE"""),"TRANSPARENCIA")</f>
        <v>TRANSPARENCIA</v>
      </c>
      <c r="E3" s="18"/>
      <c r="F3" s="18"/>
      <c r="G3" s="18"/>
      <c r="H3" s="18"/>
      <c r="I3" s="18">
        <f ca="1">IFERROR(__xludf.DUMMYFUNCTION("""COMPUTED_VALUE"""),41)</f>
        <v>41</v>
      </c>
      <c r="J3" s="18">
        <f ca="1">IFERROR(__xludf.DUMMYFUNCTION("""COMPUTED_VALUE"""),0)</f>
        <v>0</v>
      </c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>
      <c r="A4" s="26">
        <f ca="1">IFERROR(__xludf.DUMMYFUNCTION("""COMPUTED_VALUE"""),45761.5535748148)</f>
        <v>45761.553574814803</v>
      </c>
      <c r="B4" s="18" t="str">
        <f ca="1">IFERROR(__xludf.DUMMYFUNCTION("""COMPUTED_VALUE"""),"OCTUBRE 2024 - SEPTIEMBRE 2025")</f>
        <v>OCTUBRE 2024 - SEPTIEMBRE 2025</v>
      </c>
      <c r="C4" s="18" t="str">
        <f ca="1">IFERROR(__xludf.DUMMYFUNCTION("""COMPUTED_VALUE"""),"NOVIEMBRE")</f>
        <v>NOVIEMBRE</v>
      </c>
      <c r="D4" s="18" t="str">
        <f ca="1">IFERROR(__xludf.DUMMYFUNCTION("""COMPUTED_VALUE"""),"TRANSPARENCIA")</f>
        <v>TRANSPARENCIA</v>
      </c>
      <c r="E4" s="18"/>
      <c r="F4" s="18"/>
      <c r="G4" s="18"/>
      <c r="H4" s="18"/>
      <c r="I4" s="18">
        <f ca="1">IFERROR(__xludf.DUMMYFUNCTION("""COMPUTED_VALUE"""),60)</f>
        <v>60</v>
      </c>
      <c r="J4" s="18">
        <f ca="1">IFERROR(__xludf.DUMMYFUNCTION("""COMPUTED_VALUE"""),0)</f>
        <v>0</v>
      </c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>
      <c r="A5" s="26">
        <f ca="1">IFERROR(__xludf.DUMMYFUNCTION("""COMPUTED_VALUE"""),45761.5659039814)</f>
        <v>45761.565903981398</v>
      </c>
      <c r="B5" s="18" t="str">
        <f ca="1">IFERROR(__xludf.DUMMYFUNCTION("""COMPUTED_VALUE"""),"OCTUBRE 2024 - SEPTIEMBRE 2025")</f>
        <v>OCTUBRE 2024 - SEPTIEMBRE 2025</v>
      </c>
      <c r="C5" s="18" t="str">
        <f ca="1">IFERROR(__xludf.DUMMYFUNCTION("""COMPUTED_VALUE"""),"DICIEMBRE")</f>
        <v>DICIEMBRE</v>
      </c>
      <c r="D5" s="18" t="str">
        <f ca="1">IFERROR(__xludf.DUMMYFUNCTION("""COMPUTED_VALUE"""),"TRANSPARENCIA")</f>
        <v>TRANSPARENCIA</v>
      </c>
      <c r="E5" s="18"/>
      <c r="F5" s="18"/>
      <c r="G5" s="18"/>
      <c r="H5" s="18"/>
      <c r="I5" s="18">
        <f ca="1">IFERROR(__xludf.DUMMYFUNCTION("""COMPUTED_VALUE"""),39)</f>
        <v>39</v>
      </c>
      <c r="J5" s="18">
        <f ca="1">IFERROR(__xludf.DUMMYFUNCTION("""COMPUTED_VALUE"""),1)</f>
        <v>1</v>
      </c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>
      <c r="A6" s="26">
        <f ca="1">IFERROR(__xludf.DUMMYFUNCTION("""COMPUTED_VALUE"""),45761.5661911226)</f>
        <v>45761.566191122598</v>
      </c>
      <c r="B6" s="18" t="str">
        <f ca="1">IFERROR(__xludf.DUMMYFUNCTION("""COMPUTED_VALUE"""),"OCTUBRE 2024 - SEPTIEMBRE 2025")</f>
        <v>OCTUBRE 2024 - SEPTIEMBRE 2025</v>
      </c>
      <c r="C6" s="18" t="str">
        <f ca="1">IFERROR(__xludf.DUMMYFUNCTION("""COMPUTED_VALUE"""),"ENERO")</f>
        <v>ENERO</v>
      </c>
      <c r="D6" s="18" t="str">
        <f ca="1">IFERROR(__xludf.DUMMYFUNCTION("""COMPUTED_VALUE"""),"TRANSPARENCIA")</f>
        <v>TRANSPARENCIA</v>
      </c>
      <c r="E6" s="18"/>
      <c r="F6" s="18"/>
      <c r="G6" s="18"/>
      <c r="H6" s="18"/>
      <c r="I6" s="18">
        <f ca="1">IFERROR(__xludf.DUMMYFUNCTION("""COMPUTED_VALUE"""),52)</f>
        <v>52</v>
      </c>
      <c r="J6" s="18">
        <f ca="1">IFERROR(__xludf.DUMMYFUNCTION("""COMPUTED_VALUE"""),0)</f>
        <v>0</v>
      </c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>
      <c r="A7" s="26">
        <f ca="1">IFERROR(__xludf.DUMMYFUNCTION("""COMPUTED_VALUE"""),45761.5664774074)</f>
        <v>45761.566477407403</v>
      </c>
      <c r="B7" s="18" t="str">
        <f ca="1">IFERROR(__xludf.DUMMYFUNCTION("""COMPUTED_VALUE"""),"OCTUBRE 2024 - SEPTIEMBRE 2025")</f>
        <v>OCTUBRE 2024 - SEPTIEMBRE 2025</v>
      </c>
      <c r="C7" s="18" t="str">
        <f ca="1">IFERROR(__xludf.DUMMYFUNCTION("""COMPUTED_VALUE"""),"FEBRERO")</f>
        <v>FEBRERO</v>
      </c>
      <c r="D7" s="18" t="str">
        <f ca="1">IFERROR(__xludf.DUMMYFUNCTION("""COMPUTED_VALUE"""),"TRANSPARENCIA")</f>
        <v>TRANSPARENCIA</v>
      </c>
      <c r="E7" s="18"/>
      <c r="F7" s="18"/>
      <c r="G7" s="18"/>
      <c r="H7" s="18"/>
      <c r="I7" s="18">
        <f ca="1">IFERROR(__xludf.DUMMYFUNCTION("""COMPUTED_VALUE"""),56)</f>
        <v>56</v>
      </c>
      <c r="J7" s="18">
        <f ca="1">IFERROR(__xludf.DUMMYFUNCTION("""COMPUTED_VALUE"""),0)</f>
        <v>0</v>
      </c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>
      <c r="A8" s="26">
        <f ca="1">IFERROR(__xludf.DUMMYFUNCTION("""COMPUTED_VALUE"""),45761.5667633333)</f>
        <v>45761.5667633333</v>
      </c>
      <c r="B8" s="18" t="str">
        <f ca="1">IFERROR(__xludf.DUMMYFUNCTION("""COMPUTED_VALUE"""),"OCTUBRE 2024 - SEPTIEMBRE 2025")</f>
        <v>OCTUBRE 2024 - SEPTIEMBRE 2025</v>
      </c>
      <c r="C8" s="18" t="str">
        <f ca="1">IFERROR(__xludf.DUMMYFUNCTION("""COMPUTED_VALUE"""),"MARZO")</f>
        <v>MARZO</v>
      </c>
      <c r="D8" s="18" t="str">
        <f ca="1">IFERROR(__xludf.DUMMYFUNCTION("""COMPUTED_VALUE"""),"TRANSPARENCIA")</f>
        <v>TRANSPARENCIA</v>
      </c>
      <c r="E8" s="18"/>
      <c r="F8" s="18"/>
      <c r="G8" s="18"/>
      <c r="H8" s="18"/>
      <c r="I8" s="18">
        <f ca="1">IFERROR(__xludf.DUMMYFUNCTION("""COMPUTED_VALUE"""),63)</f>
        <v>63</v>
      </c>
      <c r="J8" s="18">
        <f ca="1">IFERROR(__xludf.DUMMYFUNCTION("""COMPUTED_VALUE"""),1)</f>
        <v>1</v>
      </c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>
      <c r="A9" s="26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>
      <c r="A10" s="26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>
      <c r="A11" s="26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>
      <c r="A12" s="26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>
      <c r="A13" s="26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>
      <c r="A14" s="26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>
      <c r="A15" s="26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>
      <c r="A16" s="26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>
      <c r="A17" s="26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>
      <c r="A18" s="26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>
      <c r="A19" s="26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>
      <c r="A20" s="26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>
      <c r="A21" s="26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>
      <c r="A22" s="26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>
      <c r="A23" s="26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>
      <c r="A24" s="26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>
      <c r="A25" s="26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>
      <c r="A26" s="26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>
      <c r="A27" s="26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>
      <c r="A28" s="26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>
      <c r="A29" s="26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>
      <c r="A30" s="26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>
      <c r="A31" s="26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>
      <c r="A32" s="26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>
      <c r="A33" s="26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>
      <c r="A34" s="26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>
      <c r="A35" s="26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>
      <c r="A36" s="26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>
      <c r="A37" s="26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>
      <c r="A38" s="26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>
      <c r="A39" s="26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>
      <c r="A40" s="26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>
      <c r="A41" s="26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>
      <c r="A42" s="26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>
      <c r="A43" s="26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>
      <c r="A44" s="26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>
      <c r="A45" s="26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>
      <c r="A46" s="26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>
      <c r="A47" s="26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>
      <c r="A48" s="26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>
      <c r="A49" s="26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>
      <c r="A50" s="26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>
      <c r="A51" s="26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>
      <c r="A52" s="26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>
      <c r="A53" s="26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>
      <c r="A54" s="26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>
      <c r="A55" s="26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>
      <c r="A56" s="26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>
      <c r="A57" s="26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>
      <c r="A58" s="26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>
      <c r="A59" s="26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>
      <c r="A60" s="26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>
      <c r="A61" s="26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>
      <c r="A62" s="26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>
      <c r="A63" s="26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>
      <c r="A64" s="26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>
      <c r="A65" s="26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>
      <c r="A66" s="26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>
      <c r="A67" s="26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>
      <c r="A68" s="26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>
      <c r="A69" s="26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>
      <c r="A70" s="26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>
      <c r="A71" s="26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>
      <c r="A72" s="26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>
      <c r="A73" s="26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>
      <c r="A74" s="26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>
      <c r="A75" s="26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>
      <c r="A76" s="26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>
      <c r="A77" s="26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>
      <c r="A78" s="26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>
      <c r="A79" s="26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>
      <c r="A80" s="26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>
      <c r="A81" s="26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>
      <c r="A82" s="26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>
      <c r="A83" s="26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>
      <c r="A84" s="26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>
      <c r="A85" s="26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>
      <c r="A86" s="26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>
      <c r="A87" s="26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>
      <c r="A88" s="26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>
      <c r="A89" s="26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>
      <c r="A90" s="26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>
      <c r="A91" s="26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>
      <c r="A92" s="26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>
      <c r="A93" s="26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>
      <c r="A94" s="26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>
      <c r="A95" s="26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>
      <c r="A96" s="26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>
      <c r="A97" s="26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>
      <c r="A98" s="26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>
      <c r="A99" s="26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>
      <c r="A100" s="26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>
      <c r="A101" s="26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>
      <c r="A102" s="26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>
      <c r="A103" s="26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>
      <c r="A104" s="26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>
      <c r="A105" s="26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>
      <c r="A106" s="26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>
      <c r="A107" s="26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>
      <c r="A108" s="26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>
      <c r="A109" s="26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>
      <c r="A110" s="26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>
      <c r="A111" s="26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>
      <c r="A112" s="26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>
      <c r="A113" s="26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>
      <c r="A114" s="26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>
      <c r="A115" s="26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>
      <c r="A116" s="26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>
      <c r="A117" s="26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>
      <c r="A118" s="26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>
      <c r="A119" s="26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>
      <c r="A120" s="26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>
      <c r="A121" s="26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>
      <c r="A122" s="26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>
      <c r="A123" s="26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>
      <c r="A124" s="26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>
      <c r="A125" s="26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>
      <c r="A126" s="26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>
      <c r="A127" s="26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>
      <c r="A128" s="26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>
      <c r="A129" s="26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>
      <c r="A130" s="26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>
      <c r="A131" s="26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>
      <c r="A132" s="26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>
      <c r="A133" s="26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>
      <c r="A134" s="26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>
      <c r="A135" s="26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>
      <c r="A136" s="26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>
      <c r="A137" s="26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>
      <c r="A138" s="26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>
      <c r="A139" s="26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>
      <c r="A140" s="26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>
      <c r="A141" s="26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>
      <c r="A142" s="26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>
      <c r="A143" s="26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>
      <c r="A144" s="26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>
      <c r="A145" s="26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>
      <c r="A146" s="26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>
      <c r="A147" s="26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>
      <c r="A148" s="26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>
      <c r="A149" s="26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>
      <c r="A150" s="26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>
      <c r="A151" s="26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>
      <c r="A152" s="26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>
      <c r="A153" s="26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>
      <c r="A154" s="26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>
      <c r="A155" s="26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>
      <c r="A156" s="26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>
      <c r="A157" s="26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>
      <c r="A158" s="26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>
      <c r="A159" s="26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>
      <c r="A160" s="26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>
      <c r="A161" s="26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>
      <c r="A162" s="26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>
      <c r="A163" s="26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>
      <c r="A164" s="26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>
      <c r="A165" s="26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>
      <c r="A166" s="26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>
      <c r="A167" s="26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>
      <c r="A168" s="26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>
      <c r="A169" s="26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>
      <c r="A170" s="26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>
      <c r="A171" s="26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>
      <c r="A172" s="26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>
      <c r="A173" s="26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>
      <c r="A174" s="26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>
      <c r="A175" s="26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>
      <c r="A176" s="26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>
      <c r="A177" s="26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>
      <c r="A178" s="26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>
      <c r="A179" s="26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>
      <c r="A180" s="26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>
      <c r="A181" s="26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>
      <c r="A182" s="26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>
      <c r="A183" s="26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>
      <c r="A184" s="26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>
      <c r="A185" s="26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>
      <c r="A186" s="26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>
      <c r="A187" s="26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>
      <c r="A188" s="26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>
      <c r="A189" s="26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>
      <c r="A190" s="26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>
      <c r="A191" s="26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>
      <c r="A192" s="26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>
      <c r="A193" s="26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>
      <c r="A194" s="26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>
      <c r="A195" s="26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>
      <c r="A196" s="26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>
      <c r="A197" s="26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>
      <c r="A198" s="26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>
      <c r="A199" s="26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>
      <c r="A200" s="26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>
      <c r="A201" s="26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>
      <c r="A202" s="26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>
      <c r="A203" s="26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>
      <c r="A204" s="26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>
      <c r="A205" s="26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>
      <c r="A206" s="26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>
      <c r="A207" s="26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>
      <c r="A208" s="26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>
      <c r="A209" s="26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>
      <c r="A210" s="26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>
      <c r="A211" s="26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>
      <c r="A212" s="26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>
      <c r="A213" s="26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>
      <c r="A214" s="26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>
      <c r="A215" s="26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>
      <c r="A216" s="26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>
      <c r="A217" s="26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>
      <c r="A218" s="26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>
      <c r="A219" s="26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>
      <c r="A220" s="26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>
      <c r="A221" s="26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>
      <c r="A222" s="26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>
      <c r="A223" s="26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>
      <c r="A224" s="26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>
      <c r="A225" s="26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>
      <c r="A226" s="26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>
      <c r="A227" s="26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>
      <c r="A228" s="26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>
      <c r="A229" s="26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>
      <c r="A230" s="26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>
      <c r="A231" s="26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>
      <c r="A232" s="26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>
      <c r="A233" s="26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>
      <c r="A234" s="26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>
      <c r="A235" s="26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>
      <c r="A236" s="26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>
      <c r="A237" s="26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>
      <c r="A238" s="26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>
      <c r="A239" s="26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>
      <c r="A240" s="26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>
      <c r="A241" s="26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>
      <c r="A242" s="26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>
      <c r="A243" s="26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>
      <c r="A244" s="26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>
      <c r="A245" s="26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>
      <c r="A246" s="26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>
      <c r="A247" s="26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>
      <c r="A248" s="26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>
      <c r="A249" s="26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>
      <c r="A250" s="26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>
      <c r="A251" s="26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>
      <c r="A252" s="26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>
      <c r="A253" s="26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>
      <c r="A254" s="26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>
      <c r="A255" s="26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>
      <c r="A256" s="26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>
      <c r="A257" s="26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>
      <c r="A258" s="26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>
      <c r="A259" s="26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>
      <c r="A260" s="26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>
      <c r="A261" s="26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>
      <c r="A262" s="26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>
      <c r="A263" s="26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>
      <c r="A264" s="26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>
      <c r="A265" s="26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>
      <c r="A266" s="26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>
      <c r="A267" s="26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>
      <c r="A268" s="26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>
      <c r="A269" s="26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>
      <c r="A270" s="26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>
      <c r="A271" s="26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>
      <c r="A272" s="26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>
      <c r="A273" s="26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>
      <c r="A274" s="26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>
      <c r="A275" s="26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>
      <c r="A276" s="26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>
      <c r="A277" s="26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>
      <c r="A278" s="26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>
      <c r="A279" s="26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>
      <c r="A280" s="26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>
      <c r="A281" s="26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>
      <c r="A282" s="26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>
      <c r="A283" s="26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>
      <c r="A284" s="26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>
      <c r="A285" s="26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>
      <c r="A286" s="26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>
      <c r="A287" s="26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>
      <c r="A288" s="26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>
      <c r="A289" s="26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>
      <c r="A290" s="26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>
      <c r="A291" s="26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>
      <c r="A292" s="26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>
      <c r="A293" s="26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>
      <c r="A294" s="26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>
      <c r="A295" s="26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>
      <c r="A296" s="26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>
      <c r="A297" s="26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>
      <c r="A298" s="26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>
      <c r="A299" s="26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>
      <c r="A300" s="26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>
      <c r="A301" s="26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>
      <c r="A302" s="26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>
      <c r="A303" s="26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>
      <c r="A304" s="26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>
      <c r="A305" s="26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>
      <c r="A306" s="26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>
      <c r="A307" s="26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>
      <c r="A308" s="26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>
      <c r="A309" s="26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>
      <c r="A310" s="26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>
      <c r="A311" s="26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>
      <c r="A312" s="26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>
      <c r="A313" s="26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>
      <c r="A314" s="26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>
      <c r="A315" s="26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>
      <c r="A316" s="26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>
      <c r="A317" s="26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>
      <c r="A318" s="26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>
      <c r="A319" s="26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>
      <c r="A320" s="26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>
      <c r="A321" s="26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>
      <c r="A322" s="26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>
      <c r="A323" s="26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>
      <c r="A324" s="26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>
      <c r="A325" s="26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>
      <c r="A326" s="26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>
      <c r="A327" s="26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>
      <c r="A328" s="26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>
      <c r="A329" s="26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>
      <c r="A330" s="26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>
      <c r="A331" s="26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>
      <c r="A332" s="26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>
      <c r="A333" s="26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>
      <c r="A334" s="26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>
      <c r="A335" s="26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>
      <c r="A336" s="26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>
      <c r="A337" s="26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>
      <c r="A338" s="26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>
      <c r="A339" s="26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>
      <c r="A340" s="26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>
      <c r="A341" s="26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>
      <c r="A342" s="26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>
      <c r="A343" s="26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>
      <c r="A344" s="26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>
      <c r="A345" s="26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>
      <c r="A346" s="26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>
      <c r="A347" s="26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>
      <c r="A348" s="26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>
      <c r="A349" s="26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>
      <c r="A350" s="26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>
      <c r="A351" s="26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>
      <c r="A352" s="26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>
      <c r="A353" s="26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>
      <c r="A354" s="26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>
      <c r="A355" s="26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>
      <c r="A356" s="26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>
      <c r="A357" s="26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>
      <c r="A358" s="26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>
      <c r="A359" s="26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>
      <c r="A360" s="26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>
      <c r="A361" s="26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>
      <c r="A362" s="26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>
      <c r="A363" s="26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>
      <c r="A364" s="26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>
      <c r="A365" s="26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>
      <c r="A366" s="26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>
      <c r="A367" s="26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>
      <c r="A368" s="26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>
      <c r="A369" s="26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>
      <c r="A370" s="26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>
      <c r="A371" s="26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>
      <c r="A372" s="26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>
      <c r="A373" s="26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>
      <c r="A374" s="26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>
      <c r="A375" s="26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>
      <c r="A376" s="26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>
      <c r="A377" s="26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>
      <c r="A378" s="26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>
      <c r="A379" s="26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>
      <c r="A380" s="26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>
      <c r="A381" s="26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>
      <c r="A382" s="26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>
      <c r="A383" s="26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>
      <c r="A384" s="26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>
      <c r="A385" s="26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>
      <c r="A386" s="26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>
      <c r="A387" s="26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>
      <c r="A388" s="26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>
      <c r="A389" s="26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>
      <c r="A390" s="26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>
      <c r="A391" s="26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>
      <c r="A392" s="26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>
      <c r="A393" s="26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>
      <c r="A394" s="26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>
      <c r="A395" s="26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>
      <c r="A396" s="26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>
      <c r="A397" s="26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>
      <c r="A398" s="26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>
      <c r="A399" s="26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>
      <c r="A400" s="26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>
      <c r="A401" s="26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>
      <c r="A402" s="26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>
      <c r="A403" s="26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>
      <c r="A404" s="26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>
      <c r="A405" s="26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>
      <c r="A406" s="26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>
      <c r="A407" s="26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>
      <c r="A408" s="26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>
      <c r="A409" s="26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>
      <c r="A410" s="26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>
      <c r="A411" s="26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>
      <c r="A412" s="26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>
      <c r="A413" s="26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>
      <c r="A414" s="26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>
      <c r="A415" s="26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>
      <c r="A416" s="26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>
      <c r="A417" s="26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>
      <c r="A418" s="26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>
      <c r="A419" s="26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>
      <c r="A420" s="26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>
      <c r="A421" s="26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>
      <c r="A422" s="26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>
      <c r="A423" s="26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>
      <c r="A424" s="26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>
      <c r="A425" s="26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>
      <c r="A426" s="26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>
      <c r="A427" s="26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>
      <c r="A428" s="26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>
      <c r="A429" s="26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>
      <c r="A430" s="26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>
      <c r="A431" s="26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>
      <c r="A432" s="26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>
      <c r="A433" s="26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>
      <c r="A434" s="26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>
      <c r="A435" s="26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>
      <c r="A436" s="26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>
      <c r="A437" s="26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>
      <c r="A438" s="26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>
      <c r="A439" s="26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>
      <c r="A440" s="26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>
      <c r="A441" s="26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>
      <c r="A442" s="26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>
      <c r="A443" s="26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>
      <c r="A444" s="26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>
      <c r="A445" s="26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>
      <c r="A446" s="26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>
      <c r="A447" s="26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>
      <c r="A448" s="26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>
      <c r="A449" s="26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>
      <c r="A450" s="26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>
      <c r="A451" s="26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>
      <c r="A452" s="26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>
      <c r="A453" s="26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>
      <c r="A454" s="26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>
      <c r="A455" s="26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>
      <c r="A456" s="26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>
      <c r="A457" s="26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>
      <c r="A458" s="26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>
      <c r="A459" s="26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>
      <c r="A460" s="26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>
      <c r="A461" s="26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>
      <c r="A462" s="26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>
      <c r="A463" s="26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>
      <c r="A464" s="26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>
      <c r="A465" s="26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>
      <c r="A466" s="26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>
      <c r="A467" s="26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>
      <c r="A468" s="26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>
      <c r="A469" s="26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>
      <c r="A470" s="26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>
      <c r="A471" s="26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>
      <c r="A472" s="26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>
      <c r="A473" s="26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>
      <c r="A474" s="26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>
      <c r="A475" s="26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>
      <c r="A476" s="26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>
      <c r="A477" s="26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>
      <c r="A478" s="26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>
      <c r="A479" s="26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>
      <c r="A480" s="26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>
      <c r="A481" s="26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>
      <c r="A482" s="26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>
      <c r="A483" s="26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>
      <c r="A484" s="26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>
      <c r="A485" s="26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>
      <c r="A486" s="26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>
      <c r="A487" s="26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>
      <c r="A488" s="26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>
      <c r="A489" s="26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>
      <c r="A490" s="26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>
      <c r="A491" s="26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>
      <c r="A492" s="26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>
      <c r="A493" s="26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>
      <c r="A494" s="26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>
      <c r="A495" s="26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>
      <c r="A496" s="26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>
      <c r="A497" s="26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>
      <c r="A498" s="26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>
      <c r="A499" s="26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>
      <c r="A500" s="26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>
      <c r="A501" s="26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>
      <c r="A502" s="26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>
      <c r="A503" s="26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>
      <c r="A504" s="26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>
      <c r="A505" s="26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>
      <c r="A506" s="26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>
      <c r="A507" s="26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>
      <c r="A508" s="26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>
      <c r="A509" s="26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>
      <c r="A510" s="26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>
      <c r="A511" s="26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>
      <c r="A512" s="26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>
      <c r="A513" s="26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>
      <c r="A514" s="26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>
      <c r="A515" s="26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>
      <c r="A516" s="26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>
      <c r="A517" s="26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>
      <c r="A518" s="26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>
      <c r="A519" s="26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>
      <c r="A520" s="26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>
      <c r="A521" s="26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>
      <c r="A522" s="26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>
      <c r="A523" s="26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>
      <c r="A524" s="26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>
      <c r="A525" s="26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>
      <c r="A526" s="26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>
      <c r="A527" s="26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>
      <c r="A528" s="26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>
      <c r="A529" s="26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>
      <c r="A530" s="26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>
      <c r="A531" s="26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>
      <c r="A532" s="26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>
      <c r="A533" s="26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>
      <c r="A534" s="26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>
      <c r="A535" s="26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>
      <c r="A536" s="26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>
      <c r="A537" s="26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>
      <c r="A538" s="26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>
      <c r="A539" s="26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>
      <c r="A540" s="26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>
      <c r="A541" s="26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>
      <c r="A542" s="26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>
      <c r="A543" s="26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>
      <c r="A544" s="26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>
      <c r="A545" s="26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>
      <c r="A546" s="26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>
      <c r="A547" s="26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>
      <c r="A548" s="26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>
      <c r="A549" s="26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>
      <c r="A550" s="26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>
      <c r="A551" s="26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>
      <c r="A552" s="26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>
      <c r="A553" s="26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>
      <c r="A554" s="26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>
      <c r="A555" s="26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>
      <c r="A556" s="26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>
      <c r="A557" s="26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>
      <c r="A558" s="26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>
      <c r="A559" s="26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>
      <c r="A560" s="26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>
      <c r="A561" s="26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>
      <c r="A562" s="26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>
      <c r="A563" s="26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>
      <c r="A564" s="26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>
      <c r="A565" s="26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>
      <c r="A566" s="26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>
      <c r="A567" s="26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>
      <c r="A568" s="26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>
      <c r="A569" s="26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>
      <c r="A570" s="26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>
      <c r="A571" s="26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>
      <c r="A572" s="26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>
      <c r="A573" s="26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>
      <c r="A574" s="26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>
      <c r="A575" s="26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>
      <c r="A576" s="26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>
      <c r="A577" s="26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>
      <c r="A578" s="26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>
      <c r="A579" s="26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>
      <c r="A580" s="26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>
      <c r="A581" s="26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>
      <c r="A582" s="26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>
      <c r="A583" s="26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>
      <c r="A584" s="26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>
      <c r="A585" s="26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>
      <c r="A586" s="26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>
      <c r="A587" s="26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>
      <c r="A588" s="26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>
      <c r="A589" s="26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>
      <c r="A590" s="26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>
      <c r="A591" s="26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>
      <c r="A592" s="26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>
      <c r="A593" s="26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>
      <c r="A594" s="26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>
      <c r="A595" s="26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>
      <c r="A596" s="26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>
      <c r="A597" s="26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>
      <c r="A598" s="26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>
      <c r="A599" s="26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>
      <c r="A600" s="26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>
      <c r="A601" s="26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>
      <c r="A602" s="26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>
      <c r="A603" s="26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>
      <c r="A604" s="26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>
      <c r="A605" s="26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>
      <c r="A606" s="26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>
      <c r="A607" s="26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>
      <c r="A608" s="26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>
      <c r="A609" s="26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>
      <c r="A610" s="26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>
      <c r="A611" s="26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>
      <c r="A612" s="26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>
      <c r="A613" s="26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>
      <c r="A614" s="26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>
      <c r="A615" s="26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>
      <c r="A616" s="26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>
      <c r="A617" s="26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>
      <c r="A618" s="26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>
      <c r="A619" s="26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>
      <c r="A620" s="26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>
      <c r="A621" s="26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>
      <c r="A622" s="26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>
      <c r="A623" s="26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>
      <c r="A624" s="26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>
      <c r="A625" s="26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>
      <c r="A626" s="26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>
      <c r="A627" s="26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>
      <c r="A628" s="26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>
      <c r="A629" s="26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>
      <c r="A630" s="26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>
      <c r="A631" s="26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>
      <c r="A632" s="26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>
      <c r="A633" s="26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>
      <c r="A634" s="26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>
      <c r="A635" s="26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>
      <c r="A636" s="26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>
      <c r="A637" s="26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>
      <c r="A638" s="26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>
      <c r="A639" s="26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>
      <c r="A640" s="26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>
      <c r="A641" s="26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>
      <c r="A642" s="26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>
      <c r="A643" s="26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>
      <c r="A644" s="26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>
      <c r="A645" s="26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>
      <c r="A646" s="26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>
      <c r="A647" s="26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>
      <c r="A648" s="26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>
      <c r="A649" s="26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>
      <c r="A650" s="26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>
      <c r="A651" s="26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>
      <c r="A652" s="26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>
      <c r="A653" s="26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>
      <c r="A654" s="26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>
      <c r="A655" s="26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>
      <c r="A656" s="26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>
      <c r="A657" s="26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>
      <c r="A658" s="26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>
      <c r="A659" s="26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>
      <c r="A660" s="26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>
      <c r="A661" s="26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>
      <c r="A662" s="26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>
      <c r="A663" s="26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>
      <c r="A664" s="26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>
      <c r="A665" s="26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>
      <c r="A666" s="26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>
      <c r="A667" s="26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>
      <c r="A668" s="26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>
      <c r="A669" s="26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>
      <c r="A670" s="26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>
      <c r="A671" s="26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>
      <c r="A672" s="26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>
      <c r="A673" s="26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>
      <c r="A674" s="26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>
      <c r="A675" s="26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>
      <c r="A676" s="26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>
      <c r="A677" s="26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>
      <c r="A678" s="26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>
      <c r="A679" s="26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>
      <c r="A680" s="26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>
      <c r="A681" s="26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>
      <c r="A682" s="26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>
      <c r="A683" s="26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>
      <c r="A684" s="26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>
      <c r="A685" s="26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>
      <c r="A686" s="26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>
      <c r="A687" s="26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>
      <c r="A688" s="26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>
      <c r="A689" s="26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>
      <c r="A690" s="26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>
      <c r="A691" s="26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>
      <c r="A692" s="26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>
      <c r="A693" s="26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>
      <c r="A694" s="26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>
      <c r="A695" s="26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>
      <c r="A696" s="26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>
      <c r="A697" s="26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>
      <c r="A698" s="26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>
      <c r="A699" s="26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>
      <c r="A700" s="26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>
      <c r="A701" s="26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>
      <c r="A702" s="26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>
      <c r="A703" s="26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>
      <c r="A704" s="26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>
      <c r="A705" s="26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>
      <c r="A706" s="26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>
      <c r="A707" s="26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>
      <c r="A708" s="26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>
      <c r="A709" s="26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>
      <c r="A710" s="26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>
      <c r="A711" s="26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>
      <c r="A712" s="26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>
      <c r="A713" s="26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>
      <c r="A714" s="26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>
      <c r="A715" s="26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>
      <c r="A716" s="26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>
      <c r="A717" s="26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>
      <c r="A718" s="26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>
      <c r="A719" s="26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>
      <c r="A720" s="26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>
      <c r="A721" s="26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>
      <c r="A722" s="26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>
      <c r="A723" s="26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>
      <c r="A724" s="26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>
      <c r="A725" s="26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>
      <c r="A726" s="26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>
      <c r="A727" s="26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>
      <c r="A728" s="26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>
      <c r="A729" s="26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>
      <c r="A730" s="26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>
      <c r="A731" s="26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>
      <c r="A732" s="26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>
      <c r="A733" s="26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>
      <c r="A734" s="26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>
      <c r="A735" s="26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>
      <c r="A736" s="26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>
      <c r="A737" s="26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>
      <c r="A738" s="26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>
      <c r="A739" s="26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>
      <c r="A740" s="26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>
      <c r="A741" s="26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>
      <c r="A742" s="26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>
      <c r="A743" s="26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>
      <c r="A744" s="26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>
      <c r="A745" s="26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>
      <c r="A746" s="26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>
      <c r="A747" s="26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>
      <c r="A748" s="26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>
      <c r="A749" s="26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>
      <c r="A750" s="26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>
      <c r="A751" s="26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>
      <c r="A752" s="26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>
      <c r="A753" s="26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>
      <c r="A754" s="26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>
      <c r="A755" s="26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>
      <c r="A756" s="26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>
      <c r="A757" s="26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>
      <c r="A758" s="26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>
      <c r="A759" s="26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>
      <c r="A760" s="26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>
      <c r="A761" s="26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>
      <c r="A762" s="26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>
      <c r="A763" s="26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>
      <c r="A764" s="26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>
      <c r="A765" s="26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>
      <c r="A766" s="26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>
      <c r="A767" s="26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>
      <c r="A768" s="26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>
      <c r="A769" s="26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>
      <c r="A770" s="26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>
      <c r="A771" s="26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>
      <c r="A772" s="26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>
      <c r="A773" s="26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>
      <c r="A774" s="26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>
      <c r="A775" s="26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>
      <c r="A776" s="26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>
      <c r="A777" s="26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>
      <c r="A778" s="26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>
      <c r="A779" s="26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>
      <c r="A780" s="26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>
      <c r="A781" s="26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>
      <c r="A782" s="26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>
      <c r="A783" s="26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>
      <c r="A784" s="26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>
      <c r="A785" s="26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>
      <c r="A786" s="26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>
      <c r="A787" s="26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>
      <c r="A788" s="26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>
      <c r="A789" s="26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>
      <c r="A790" s="26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>
      <c r="A791" s="26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>
      <c r="A792" s="26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>
      <c r="A793" s="26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>
      <c r="A794" s="26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>
      <c r="A795" s="26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>
      <c r="A796" s="26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>
      <c r="A797" s="26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>
      <c r="A798" s="26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>
      <c r="A799" s="26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>
      <c r="A800" s="26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>
      <c r="A801" s="26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>
      <c r="A802" s="26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>
      <c r="A803" s="26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>
      <c r="A804" s="26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>
      <c r="A805" s="26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>
      <c r="A806" s="26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>
      <c r="A807" s="26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>
      <c r="A808" s="26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>
      <c r="A809" s="26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>
      <c r="A810" s="26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>
      <c r="A811" s="26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>
      <c r="A812" s="26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>
      <c r="A813" s="26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>
      <c r="A814" s="26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>
      <c r="A815" s="26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>
      <c r="A816" s="26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>
      <c r="A817" s="26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>
      <c r="A818" s="26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>
      <c r="A819" s="26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>
      <c r="A820" s="26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>
      <c r="A821" s="26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>
      <c r="A822" s="26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>
      <c r="A823" s="26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>
      <c r="A824" s="26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>
      <c r="A825" s="26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>
      <c r="A826" s="26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>
      <c r="A827" s="26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>
      <c r="A828" s="26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>
      <c r="A829" s="26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>
      <c r="A830" s="26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>
      <c r="A831" s="26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>
      <c r="A832" s="26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>
      <c r="A833" s="26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>
      <c r="A834" s="26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>
      <c r="A835" s="26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>
      <c r="A836" s="26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>
      <c r="A837" s="26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>
      <c r="A838" s="26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>
      <c r="A839" s="26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>
      <c r="A840" s="26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>
      <c r="A841" s="26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>
      <c r="A842" s="26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>
      <c r="A843" s="26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>
      <c r="A844" s="26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>
      <c r="A845" s="26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>
      <c r="A846" s="26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>
      <c r="A847" s="26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>
      <c r="A848" s="26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>
      <c r="A849" s="26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>
      <c r="A850" s="26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>
      <c r="A851" s="26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>
      <c r="A852" s="26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>
      <c r="A853" s="26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>
      <c r="A854" s="26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>
      <c r="A855" s="26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>
      <c r="A856" s="26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>
      <c r="A857" s="26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>
      <c r="A858" s="26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>
      <c r="A859" s="26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>
      <c r="A860" s="26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>
      <c r="A861" s="26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>
      <c r="A862" s="26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>
      <c r="A863" s="26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>
      <c r="A864" s="26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>
      <c r="A865" s="26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>
      <c r="A866" s="26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>
      <c r="A867" s="26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>
      <c r="A868" s="26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>
      <c r="A869" s="26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>
      <c r="A870" s="26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>
      <c r="A871" s="26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>
      <c r="A872" s="26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>
      <c r="A873" s="26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>
      <c r="A874" s="26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>
      <c r="A875" s="26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>
      <c r="A876" s="26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>
      <c r="A877" s="26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>
      <c r="A878" s="26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>
      <c r="A879" s="26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>
      <c r="A880" s="26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>
      <c r="A881" s="26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>
      <c r="A882" s="26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>
      <c r="A883" s="26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>
      <c r="A884" s="26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>
      <c r="A885" s="26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>
      <c r="A886" s="26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>
      <c r="A887" s="26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>
      <c r="A888" s="26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>
      <c r="A889" s="26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>
      <c r="A890" s="26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>
      <c r="A891" s="26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>
      <c r="A892" s="26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>
      <c r="A893" s="26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>
      <c r="A894" s="26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>
      <c r="A895" s="26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>
      <c r="A896" s="26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>
      <c r="A897" s="26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>
      <c r="A898" s="26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>
      <c r="A899" s="26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>
      <c r="A900" s="26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>
      <c r="A901" s="26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>
      <c r="A902" s="26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>
      <c r="A903" s="26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>
      <c r="A904" s="26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>
      <c r="A905" s="26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>
      <c r="A906" s="26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>
      <c r="A907" s="26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>
      <c r="A908" s="26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>
      <c r="A909" s="26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>
      <c r="A910" s="26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>
      <c r="A911" s="26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>
      <c r="A912" s="26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>
      <c r="A913" s="26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>
      <c r="A914" s="26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>
      <c r="A915" s="26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>
      <c r="A916" s="26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>
      <c r="A917" s="26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>
      <c r="A918" s="26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>
      <c r="A919" s="26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>
      <c r="A920" s="26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>
      <c r="A921" s="26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>
      <c r="A922" s="26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>
      <c r="A923" s="26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>
      <c r="A924" s="26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>
      <c r="A925" s="26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>
      <c r="A926" s="26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>
      <c r="A927" s="26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>
      <c r="A928" s="26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>
      <c r="A929" s="26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>
      <c r="A930" s="26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>
      <c r="A931" s="26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>
      <c r="A932" s="26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>
      <c r="A933" s="26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>
      <c r="A934" s="26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>
      <c r="A935" s="26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>
      <c r="A936" s="26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>
      <c r="A937" s="26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>
      <c r="A938" s="26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>
      <c r="A939" s="26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>
      <c r="A940" s="26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>
      <c r="A941" s="26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>
      <c r="A942" s="26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>
      <c r="A943" s="26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>
      <c r="A944" s="26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>
      <c r="A945" s="26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>
      <c r="A946" s="26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>
      <c r="A947" s="26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>
      <c r="A948" s="26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>
      <c r="A949" s="26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>
      <c r="A950" s="26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>
      <c r="A951" s="26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>
      <c r="A952" s="26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>
      <c r="A953" s="26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>
      <c r="A954" s="26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>
      <c r="A955" s="26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>
      <c r="A956" s="26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>
      <c r="A957" s="26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>
      <c r="A958" s="26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>
      <c r="A959" s="26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>
      <c r="A960" s="26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>
      <c r="A961" s="26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>
      <c r="A962" s="26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>
      <c r="A963" s="26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>
      <c r="A964" s="26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>
      <c r="A965" s="26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>
      <c r="A966" s="26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>
      <c r="A967" s="26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>
      <c r="A968" s="26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>
      <c r="A969" s="26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>
      <c r="A970" s="26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>
      <c r="A971" s="26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>
      <c r="A972" s="26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>
      <c r="A973" s="26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>
      <c r="A974" s="26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>
      <c r="A975" s="26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>
      <c r="A976" s="26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>
      <c r="A977" s="26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>
      <c r="A978" s="26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>
      <c r="A979" s="26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>
      <c r="A980" s="26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>
      <c r="A981" s="26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>
      <c r="A982" s="26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>
      <c r="A983" s="26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>
      <c r="A984" s="26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>
      <c r="A985" s="26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>
      <c r="A986" s="26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>
      <c r="A987" s="26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>
      <c r="A988" s="26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>
      <c r="A989" s="26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>
      <c r="A990" s="26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>
      <c r="A991" s="26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>
      <c r="A992" s="26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>
      <c r="A993" s="26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>
      <c r="A994" s="26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>
      <c r="A995" s="26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>
      <c r="A996" s="26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>
      <c r="A997" s="26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>
      <c r="A998" s="26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>
      <c r="A999" s="26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>
      <c r="A1000" s="26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 summaryRight="0"/>
  </sheetPr>
  <dimension ref="A1:T1000"/>
  <sheetViews>
    <sheetView workbookViewId="0"/>
  </sheetViews>
  <sheetFormatPr baseColWidth="10" defaultColWidth="11.1640625" defaultRowHeight="15" customHeight="1"/>
  <sheetData>
    <row r="1" spans="1:20">
      <c r="A1" s="23" t="str">
        <f ca="1">IFERROR(__xludf.DUMMYFUNCTION("IMPORTRANGE(""https://docs.google.com/spreadsheets/d/1W8pTMQmKFm5Nf-lq4av7gFht0xS746t7MDPnTrTz2Is/edit?gid=1544392452#gid=1544392452"",""01!A1:T"")"),"INDICADORES")</f>
        <v>INDICADORES</v>
      </c>
      <c r="B1" s="23" t="str">
        <f ca="1">IFERROR(__xludf.DUMMYFUNCTION("""COMPUTED_VALUE"""),"META ANUAL")</f>
        <v>META ANUAL</v>
      </c>
      <c r="C1" s="23" t="str">
        <f ca="1">IFERROR(__xludf.DUMMYFUNCTION("""COMPUTED_VALUE"""),"UNIDAD DE MEDIDA")</f>
        <v>UNIDAD DE MEDIDA</v>
      </c>
      <c r="D1" s="23" t="str">
        <f ca="1">IFERROR(__xludf.DUMMYFUNCTION("""COMPUTED_VALUE"""),"TIPO DE INDICADOR")</f>
        <v>TIPO DE INDICADOR</v>
      </c>
      <c r="E1" s="23" t="str">
        <f ca="1">IFERROR(__xludf.DUMMYFUNCTION("""COMPUTED_VALUE"""),"MEDIO DE VERIFICACION")</f>
        <v>MEDIO DE VERIFICACION</v>
      </c>
      <c r="F1" s="23" t="str">
        <f ca="1">IFERROR(__xludf.DUMMYFUNCTION("""COMPUTED_VALUE"""),"% AVANCE ")</f>
        <v xml:space="preserve">% AVANCE </v>
      </c>
      <c r="G1" s="23" t="str">
        <f ca="1">IFERROR(__xludf.DUMMYFUNCTION("""COMPUTED_VALUE"""),"OCTUBRE")</f>
        <v>OCTUBRE</v>
      </c>
      <c r="H1" s="23" t="str">
        <f ca="1">IFERROR(__xludf.DUMMYFUNCTION("""COMPUTED_VALUE"""),"NOVIEMBRE")</f>
        <v>NOVIEMBRE</v>
      </c>
      <c r="I1" s="23" t="str">
        <f ca="1">IFERROR(__xludf.DUMMYFUNCTION("""COMPUTED_VALUE"""),"DICIEMBRE")</f>
        <v>DICIEMBRE</v>
      </c>
      <c r="J1" s="23" t="str">
        <f ca="1">IFERROR(__xludf.DUMMYFUNCTION("""COMPUTED_VALUE"""),"ENERO ")</f>
        <v xml:space="preserve">ENERO </v>
      </c>
      <c r="K1" s="23" t="str">
        <f ca="1">IFERROR(__xludf.DUMMYFUNCTION("""COMPUTED_VALUE"""),"FEBRERO")</f>
        <v>FEBRERO</v>
      </c>
      <c r="L1" s="23" t="str">
        <f ca="1">IFERROR(__xludf.DUMMYFUNCTION("""COMPUTED_VALUE"""),"MARZO")</f>
        <v>MARZO</v>
      </c>
      <c r="M1" s="23" t="str">
        <f ca="1">IFERROR(__xludf.DUMMYFUNCTION("""COMPUTED_VALUE"""),"ABRIL")</f>
        <v>ABRIL</v>
      </c>
      <c r="N1" s="23" t="str">
        <f ca="1">IFERROR(__xludf.DUMMYFUNCTION("""COMPUTED_VALUE"""),"MAYO")</f>
        <v>MAYO</v>
      </c>
      <c r="O1" s="23" t="str">
        <f ca="1">IFERROR(__xludf.DUMMYFUNCTION("""COMPUTED_VALUE"""),"JUNIO")</f>
        <v>JUNIO</v>
      </c>
      <c r="P1" s="23" t="str">
        <f ca="1">IFERROR(__xludf.DUMMYFUNCTION("""COMPUTED_VALUE"""),"JULIO")</f>
        <v>JULIO</v>
      </c>
      <c r="Q1" s="23" t="str">
        <f ca="1">IFERROR(__xludf.DUMMYFUNCTION("""COMPUTED_VALUE"""),"AGOSTO")</f>
        <v>AGOSTO</v>
      </c>
      <c r="R1" s="23" t="str">
        <f ca="1">IFERROR(__xludf.DUMMYFUNCTION("""COMPUTED_VALUE"""),"SEPTIEMBRE")</f>
        <v>SEPTIEMBRE</v>
      </c>
      <c r="S1" s="23" t="str">
        <f ca="1">IFERROR(__xludf.DUMMYFUNCTION("""COMPUTED_VALUE"""),"SUMATORIA TOTAL")</f>
        <v>SUMATORIA TOTAL</v>
      </c>
      <c r="T1" s="23"/>
    </row>
    <row r="2" spans="1:20">
      <c r="A2" s="23" t="str">
        <f ca="1">IFERROR(__xludf.DUMMYFUNCTION("""COMPUTED_VALUE"""),"PROGRAMAS IMPLEMENTADOS")</f>
        <v>PROGRAMAS IMPLEMENTADOS</v>
      </c>
      <c r="B2" s="23">
        <f ca="1">IFERROR(__xludf.DUMMYFUNCTION("""COMPUTED_VALUE"""),10)</f>
        <v>10</v>
      </c>
      <c r="C2" s="23" t="str">
        <f ca="1">IFERROR(__xludf.DUMMYFUNCTION("""COMPUTED_VALUE"""),"PROGRAMAS")</f>
        <v>PROGRAMAS</v>
      </c>
      <c r="D2" s="23" t="str">
        <f ca="1">IFERROR(__xludf.DUMMYFUNCTION("""COMPUTED_VALUE"""),"ASCENDENTE")</f>
        <v>ASCENDENTE</v>
      </c>
      <c r="E2" s="23" t="str">
        <f ca="1">IFERROR(__xludf.DUMMYFUNCTION("""COMPUTED_VALUE"""),"PROGRAMA OPERATIVO ANUAL")</f>
        <v>PROGRAMA OPERATIVO ANUAL</v>
      </c>
      <c r="F2" s="23">
        <f ca="1">IFERROR(__xludf.DUMMYFUNCTION("""COMPUTED_VALUE"""),10)</f>
        <v>10</v>
      </c>
      <c r="G2" s="23">
        <f ca="1">IFERROR(__xludf.DUMMYFUNCTION("""COMPUTED_VALUE"""),0)</f>
        <v>0</v>
      </c>
      <c r="H2" s="23">
        <f ca="1">IFERROR(__xludf.DUMMYFUNCTION("""COMPUTED_VALUE"""),0)</f>
        <v>0</v>
      </c>
      <c r="I2" s="23">
        <f ca="1">IFERROR(__xludf.DUMMYFUNCTION("""COMPUTED_VALUE"""),0)</f>
        <v>0</v>
      </c>
      <c r="J2" s="23">
        <f ca="1">IFERROR(__xludf.DUMMYFUNCTION("""COMPUTED_VALUE"""),1)</f>
        <v>1</v>
      </c>
      <c r="K2" s="23">
        <f ca="1">IFERROR(__xludf.DUMMYFUNCTION("""COMPUTED_VALUE"""),0)</f>
        <v>0</v>
      </c>
      <c r="L2" s="23">
        <f ca="1">IFERROR(__xludf.DUMMYFUNCTION("""COMPUTED_VALUE"""),0)</f>
        <v>0</v>
      </c>
      <c r="M2" s="23">
        <f ca="1">IFERROR(__xludf.DUMMYFUNCTION("""COMPUTED_VALUE"""),0)</f>
        <v>0</v>
      </c>
      <c r="N2" s="23">
        <f ca="1">IFERROR(__xludf.DUMMYFUNCTION("""COMPUTED_VALUE"""),0)</f>
        <v>0</v>
      </c>
      <c r="O2" s="23">
        <f ca="1">IFERROR(__xludf.DUMMYFUNCTION("""COMPUTED_VALUE"""),0)</f>
        <v>0</v>
      </c>
      <c r="P2" s="23">
        <f ca="1">IFERROR(__xludf.DUMMYFUNCTION("""COMPUTED_VALUE"""),0)</f>
        <v>0</v>
      </c>
      <c r="Q2" s="23">
        <f ca="1">IFERROR(__xludf.DUMMYFUNCTION("""COMPUTED_VALUE"""),0)</f>
        <v>0</v>
      </c>
      <c r="R2" s="23">
        <f ca="1">IFERROR(__xludf.DUMMYFUNCTION("""COMPUTED_VALUE"""),0)</f>
        <v>0</v>
      </c>
      <c r="S2" s="23">
        <f ca="1">IFERROR(__xludf.DUMMYFUNCTION("""COMPUTED_VALUE"""),1)</f>
        <v>1</v>
      </c>
      <c r="T2" s="23"/>
    </row>
    <row r="3" spans="1:20">
      <c r="A3" s="23" t="str">
        <f ca="1">IFERROR(__xludf.DUMMYFUNCTION("""COMPUTED_VALUE"""),"PERSONAS BENEFICIADAS")</f>
        <v>PERSONAS BENEFICIADAS</v>
      </c>
      <c r="B3" s="23">
        <f ca="1">IFERROR(__xludf.DUMMYFUNCTION("""COMPUTED_VALUE"""),780)</f>
        <v>780</v>
      </c>
      <c r="C3" s="23" t="str">
        <f ca="1">IFERROR(__xludf.DUMMYFUNCTION("""COMPUTED_VALUE"""),"NÚM. DE PERSONAS")</f>
        <v>NÚM. DE PERSONAS</v>
      </c>
      <c r="D3" s="23" t="str">
        <f ca="1">IFERROR(__xludf.DUMMYFUNCTION("""COMPUTED_VALUE"""),"ASCENDENTE")</f>
        <v>ASCENDENTE</v>
      </c>
      <c r="E3" s="23" t="str">
        <f ca="1">IFERROR(__xludf.DUMMYFUNCTION("""COMPUTED_VALUE"""),"PROGRAMA OPERATIVO ANUAL")</f>
        <v>PROGRAMA OPERATIVO ANUAL</v>
      </c>
      <c r="F3" s="23">
        <f ca="1">IFERROR(__xludf.DUMMYFUNCTION("""COMPUTED_VALUE"""),6.41025641025641)</f>
        <v>6.4102564102564097</v>
      </c>
      <c r="G3" s="23">
        <f ca="1">IFERROR(__xludf.DUMMYFUNCTION("""COMPUTED_VALUE"""),0)</f>
        <v>0</v>
      </c>
      <c r="H3" s="23">
        <f ca="1">IFERROR(__xludf.DUMMYFUNCTION("""COMPUTED_VALUE"""),0)</f>
        <v>0</v>
      </c>
      <c r="I3" s="23">
        <f ca="1">IFERROR(__xludf.DUMMYFUNCTION("""COMPUTED_VALUE"""),0)</f>
        <v>0</v>
      </c>
      <c r="J3" s="23">
        <f ca="1">IFERROR(__xludf.DUMMYFUNCTION("""COMPUTED_VALUE"""),50)</f>
        <v>50</v>
      </c>
      <c r="K3" s="23">
        <f ca="1">IFERROR(__xludf.DUMMYFUNCTION("""COMPUTED_VALUE"""),0)</f>
        <v>0</v>
      </c>
      <c r="L3" s="23">
        <f ca="1">IFERROR(__xludf.DUMMYFUNCTION("""COMPUTED_VALUE"""),0)</f>
        <v>0</v>
      </c>
      <c r="M3" s="23">
        <f ca="1">IFERROR(__xludf.DUMMYFUNCTION("""COMPUTED_VALUE"""),0)</f>
        <v>0</v>
      </c>
      <c r="N3" s="23">
        <f ca="1">IFERROR(__xludf.DUMMYFUNCTION("""COMPUTED_VALUE"""),0)</f>
        <v>0</v>
      </c>
      <c r="O3" s="23">
        <f ca="1">IFERROR(__xludf.DUMMYFUNCTION("""COMPUTED_VALUE"""),0)</f>
        <v>0</v>
      </c>
      <c r="P3" s="23">
        <f ca="1">IFERROR(__xludf.DUMMYFUNCTION("""COMPUTED_VALUE"""),0)</f>
        <v>0</v>
      </c>
      <c r="Q3" s="23">
        <f ca="1">IFERROR(__xludf.DUMMYFUNCTION("""COMPUTED_VALUE"""),0)</f>
        <v>0</v>
      </c>
      <c r="R3" s="23">
        <f ca="1">IFERROR(__xludf.DUMMYFUNCTION("""COMPUTED_VALUE"""),0)</f>
        <v>0</v>
      </c>
      <c r="S3" s="23">
        <f ca="1">IFERROR(__xludf.DUMMYFUNCTION("""COMPUTED_VALUE"""),50)</f>
        <v>50</v>
      </c>
      <c r="T3" s="23"/>
    </row>
    <row r="4" spans="1:20">
      <c r="A4" s="23" t="str">
        <f ca="1">IFERROR(__xludf.DUMMYFUNCTION("""COMPUTED_VALUE"""),"NUMERO DE JUICIOS ATENDIDOS")</f>
        <v>NUMERO DE JUICIOS ATENDIDOS</v>
      </c>
      <c r="B4" s="23">
        <f ca="1">IFERROR(__xludf.DUMMYFUNCTION("""COMPUTED_VALUE"""),120)</f>
        <v>120</v>
      </c>
      <c r="C4" s="23" t="str">
        <f ca="1">IFERROR(__xludf.DUMMYFUNCTION("""COMPUTED_VALUE"""),"JUICIOS ATENDIDOS")</f>
        <v>JUICIOS ATENDIDOS</v>
      </c>
      <c r="D4" s="23" t="str">
        <f ca="1">IFERROR(__xludf.DUMMYFUNCTION("""COMPUTED_VALUE"""),"ASCENDENTE")</f>
        <v>ASCENDENTE</v>
      </c>
      <c r="E4" s="23" t="str">
        <f ca="1">IFERROR(__xludf.DUMMYFUNCTION("""COMPUTED_VALUE"""),"BITACORA OPERATIVA")</f>
        <v>BITACORA OPERATIVA</v>
      </c>
      <c r="F4" s="23">
        <f ca="1">IFERROR(__xludf.DUMMYFUNCTION("""COMPUTED_VALUE"""),0)</f>
        <v>0</v>
      </c>
      <c r="G4" s="23">
        <f ca="1">IFERROR(__xludf.DUMMYFUNCTION("""COMPUTED_VALUE"""),0)</f>
        <v>0</v>
      </c>
      <c r="H4" s="23">
        <f ca="1">IFERROR(__xludf.DUMMYFUNCTION("""COMPUTED_VALUE"""),0)</f>
        <v>0</v>
      </c>
      <c r="I4" s="23">
        <f ca="1">IFERROR(__xludf.DUMMYFUNCTION("""COMPUTED_VALUE"""),0)</f>
        <v>0</v>
      </c>
      <c r="J4" s="23">
        <f ca="1">IFERROR(__xludf.DUMMYFUNCTION("""COMPUTED_VALUE"""),0)</f>
        <v>0</v>
      </c>
      <c r="K4" s="23">
        <f ca="1">IFERROR(__xludf.DUMMYFUNCTION("""COMPUTED_VALUE"""),0)</f>
        <v>0</v>
      </c>
      <c r="L4" s="23">
        <f ca="1">IFERROR(__xludf.DUMMYFUNCTION("""COMPUTED_VALUE"""),0)</f>
        <v>0</v>
      </c>
      <c r="M4" s="23">
        <f ca="1">IFERROR(__xludf.DUMMYFUNCTION("""COMPUTED_VALUE"""),0)</f>
        <v>0</v>
      </c>
      <c r="N4" s="23">
        <f ca="1">IFERROR(__xludf.DUMMYFUNCTION("""COMPUTED_VALUE"""),0)</f>
        <v>0</v>
      </c>
      <c r="O4" s="23">
        <f ca="1">IFERROR(__xludf.DUMMYFUNCTION("""COMPUTED_VALUE"""),0)</f>
        <v>0</v>
      </c>
      <c r="P4" s="23">
        <f ca="1">IFERROR(__xludf.DUMMYFUNCTION("""COMPUTED_VALUE"""),0)</f>
        <v>0</v>
      </c>
      <c r="Q4" s="23">
        <f ca="1">IFERROR(__xludf.DUMMYFUNCTION("""COMPUTED_VALUE"""),0)</f>
        <v>0</v>
      </c>
      <c r="R4" s="23">
        <f ca="1">IFERROR(__xludf.DUMMYFUNCTION("""COMPUTED_VALUE"""),0)</f>
        <v>0</v>
      </c>
      <c r="S4" s="23">
        <f ca="1">IFERROR(__xludf.DUMMYFUNCTION("""COMPUTED_VALUE"""),0)</f>
        <v>0</v>
      </c>
      <c r="T4" s="23"/>
    </row>
    <row r="5" spans="1:20">
      <c r="A5" s="23" t="str">
        <f ca="1">IFERROR(__xludf.DUMMYFUNCTION("""COMPUTED_VALUE"""),"NUMERO DE ASESORIAS JURIDICAS")</f>
        <v>NUMERO DE ASESORIAS JURIDICAS</v>
      </c>
      <c r="B5" s="23">
        <f ca="1">IFERROR(__xludf.DUMMYFUNCTION("""COMPUTED_VALUE"""),300)</f>
        <v>300</v>
      </c>
      <c r="C5" s="23" t="str">
        <f ca="1">IFERROR(__xludf.DUMMYFUNCTION("""COMPUTED_VALUE"""),"ASESORIAS ")</f>
        <v xml:space="preserve">ASESORIAS </v>
      </c>
      <c r="D5" s="23" t="str">
        <f ca="1">IFERROR(__xludf.DUMMYFUNCTION("""COMPUTED_VALUE"""),"ASCENDENTE")</f>
        <v>ASCENDENTE</v>
      </c>
      <c r="E5" s="23" t="str">
        <f ca="1">IFERROR(__xludf.DUMMYFUNCTION("""COMPUTED_VALUE"""),"BITACORA OPERATIVA")</f>
        <v>BITACORA OPERATIVA</v>
      </c>
      <c r="F5" s="23">
        <f ca="1">IFERROR(__xludf.DUMMYFUNCTION("""COMPUTED_VALUE"""),0)</f>
        <v>0</v>
      </c>
      <c r="G5" s="23">
        <f ca="1">IFERROR(__xludf.DUMMYFUNCTION("""COMPUTED_VALUE"""),0)</f>
        <v>0</v>
      </c>
      <c r="H5" s="23">
        <f ca="1">IFERROR(__xludf.DUMMYFUNCTION("""COMPUTED_VALUE"""),0)</f>
        <v>0</v>
      </c>
      <c r="I5" s="23">
        <f ca="1">IFERROR(__xludf.DUMMYFUNCTION("""COMPUTED_VALUE"""),0)</f>
        <v>0</v>
      </c>
      <c r="J5" s="23">
        <f ca="1">IFERROR(__xludf.DUMMYFUNCTION("""COMPUTED_VALUE"""),0)</f>
        <v>0</v>
      </c>
      <c r="K5" s="23">
        <f ca="1">IFERROR(__xludf.DUMMYFUNCTION("""COMPUTED_VALUE"""),0)</f>
        <v>0</v>
      </c>
      <c r="L5" s="23">
        <f ca="1">IFERROR(__xludf.DUMMYFUNCTION("""COMPUTED_VALUE"""),0)</f>
        <v>0</v>
      </c>
      <c r="M5" s="23">
        <f ca="1">IFERROR(__xludf.DUMMYFUNCTION("""COMPUTED_VALUE"""),0)</f>
        <v>0</v>
      </c>
      <c r="N5" s="23">
        <f ca="1">IFERROR(__xludf.DUMMYFUNCTION("""COMPUTED_VALUE"""),0)</f>
        <v>0</v>
      </c>
      <c r="O5" s="23">
        <f ca="1">IFERROR(__xludf.DUMMYFUNCTION("""COMPUTED_VALUE"""),0)</f>
        <v>0</v>
      </c>
      <c r="P5" s="23">
        <f ca="1">IFERROR(__xludf.DUMMYFUNCTION("""COMPUTED_VALUE"""),0)</f>
        <v>0</v>
      </c>
      <c r="Q5" s="23">
        <f ca="1">IFERROR(__xludf.DUMMYFUNCTION("""COMPUTED_VALUE"""),0)</f>
        <v>0</v>
      </c>
      <c r="R5" s="23">
        <f ca="1">IFERROR(__xludf.DUMMYFUNCTION("""COMPUTED_VALUE"""),0)</f>
        <v>0</v>
      </c>
      <c r="S5" s="23">
        <f ca="1">IFERROR(__xludf.DUMMYFUNCTION("""COMPUTED_VALUE"""),0)</f>
        <v>0</v>
      </c>
      <c r="T5" s="23"/>
    </row>
    <row r="6" spans="1:20">
      <c r="A6" s="23" t="str">
        <f ca="1">IFERROR(__xludf.DUMMYFUNCTION("""COMPUTED_VALUE"""),"PERSONAS BENEFICIADAS SIPPINA")</f>
        <v>PERSONAS BENEFICIADAS SIPPINA</v>
      </c>
      <c r="B6" s="23">
        <f ca="1">IFERROR(__xludf.DUMMYFUNCTION("""COMPUTED_VALUE"""),50)</f>
        <v>50</v>
      </c>
      <c r="C6" s="23" t="str">
        <f ca="1">IFERROR(__xludf.DUMMYFUNCTION("""COMPUTED_VALUE"""),"NÚM. DE PERSONAS")</f>
        <v>NÚM. DE PERSONAS</v>
      </c>
      <c r="D6" s="23" t="str">
        <f ca="1">IFERROR(__xludf.DUMMYFUNCTION("""COMPUTED_VALUE"""),"ASCENDENTE")</f>
        <v>ASCENDENTE</v>
      </c>
      <c r="E6" s="23" t="str">
        <f ca="1">IFERROR(__xludf.DUMMYFUNCTION("""COMPUTED_VALUE"""),"BITACORA OPERATIVA")</f>
        <v>BITACORA OPERATIVA</v>
      </c>
      <c r="F6" s="23">
        <f ca="1">IFERROR(__xludf.DUMMYFUNCTION("""COMPUTED_VALUE"""),0)</f>
        <v>0</v>
      </c>
      <c r="G6" s="23">
        <f ca="1">IFERROR(__xludf.DUMMYFUNCTION("""COMPUTED_VALUE"""),0)</f>
        <v>0</v>
      </c>
      <c r="H6" s="23">
        <f ca="1">IFERROR(__xludf.DUMMYFUNCTION("""COMPUTED_VALUE"""),0)</f>
        <v>0</v>
      </c>
      <c r="I6" s="23">
        <f ca="1">IFERROR(__xludf.DUMMYFUNCTION("""COMPUTED_VALUE"""),0)</f>
        <v>0</v>
      </c>
      <c r="J6" s="23">
        <f ca="1">IFERROR(__xludf.DUMMYFUNCTION("""COMPUTED_VALUE"""),0)</f>
        <v>0</v>
      </c>
      <c r="K6" s="23">
        <f ca="1">IFERROR(__xludf.DUMMYFUNCTION("""COMPUTED_VALUE"""),0)</f>
        <v>0</v>
      </c>
      <c r="L6" s="23">
        <f ca="1">IFERROR(__xludf.DUMMYFUNCTION("""COMPUTED_VALUE"""),0)</f>
        <v>0</v>
      </c>
      <c r="M6" s="23">
        <f ca="1">IFERROR(__xludf.DUMMYFUNCTION("""COMPUTED_VALUE"""),0)</f>
        <v>0</v>
      </c>
      <c r="N6" s="23">
        <f ca="1">IFERROR(__xludf.DUMMYFUNCTION("""COMPUTED_VALUE"""),0)</f>
        <v>0</v>
      </c>
      <c r="O6" s="23">
        <f ca="1">IFERROR(__xludf.DUMMYFUNCTION("""COMPUTED_VALUE"""),0)</f>
        <v>0</v>
      </c>
      <c r="P6" s="23">
        <f ca="1">IFERROR(__xludf.DUMMYFUNCTION("""COMPUTED_VALUE"""),0)</f>
        <v>0</v>
      </c>
      <c r="Q6" s="23">
        <f ca="1">IFERROR(__xludf.DUMMYFUNCTION("""COMPUTED_VALUE"""),0)</f>
        <v>0</v>
      </c>
      <c r="R6" s="23">
        <f ca="1">IFERROR(__xludf.DUMMYFUNCTION("""COMPUTED_VALUE"""),0)</f>
        <v>0</v>
      </c>
      <c r="S6" s="23">
        <f ca="1">IFERROR(__xludf.DUMMYFUNCTION("""COMPUTED_VALUE"""),0)</f>
        <v>0</v>
      </c>
      <c r="T6" s="23"/>
    </row>
    <row r="7" spans="1:20">
      <c r="A7" s="23" t="str">
        <f ca="1">IFERROR(__xludf.DUMMYFUNCTION("""COMPUTED_VALUE"""),"AUTOS PUESTOS A DISPOCISION")</f>
        <v>AUTOS PUESTOS A DISPOCISION</v>
      </c>
      <c r="B7" s="23">
        <f ca="1">IFERROR(__xludf.DUMMYFUNCTION("""COMPUTED_VALUE"""),35)</f>
        <v>35</v>
      </c>
      <c r="C7" s="23" t="str">
        <f ca="1">IFERROR(__xludf.DUMMYFUNCTION("""COMPUTED_VALUE"""),"AUTOS")</f>
        <v>AUTOS</v>
      </c>
      <c r="D7" s="23" t="str">
        <f ca="1">IFERROR(__xludf.DUMMYFUNCTION("""COMPUTED_VALUE"""),"ASCENDENTE")</f>
        <v>ASCENDENTE</v>
      </c>
      <c r="E7" s="23" t="str">
        <f ca="1">IFERROR(__xludf.DUMMYFUNCTION("""COMPUTED_VALUE"""),"BITACORA OPERATIVA")</f>
        <v>BITACORA OPERATIVA</v>
      </c>
      <c r="F7" s="23">
        <f ca="1">IFERROR(__xludf.DUMMYFUNCTION("""COMPUTED_VALUE"""),8.57142857142857)</f>
        <v>8.5714285714285694</v>
      </c>
      <c r="G7" s="23">
        <f ca="1">IFERROR(__xludf.DUMMYFUNCTION("""COMPUTED_VALUE"""),0)</f>
        <v>0</v>
      </c>
      <c r="H7" s="23">
        <f ca="1">IFERROR(__xludf.DUMMYFUNCTION("""COMPUTED_VALUE"""),0)</f>
        <v>0</v>
      </c>
      <c r="I7" s="23">
        <f ca="1">IFERROR(__xludf.DUMMYFUNCTION("""COMPUTED_VALUE"""),0)</f>
        <v>0</v>
      </c>
      <c r="J7" s="23">
        <f ca="1">IFERROR(__xludf.DUMMYFUNCTION("""COMPUTED_VALUE"""),3)</f>
        <v>3</v>
      </c>
      <c r="K7" s="23">
        <f ca="1">IFERROR(__xludf.DUMMYFUNCTION("""COMPUTED_VALUE"""),0)</f>
        <v>0</v>
      </c>
      <c r="L7" s="23">
        <f ca="1">IFERROR(__xludf.DUMMYFUNCTION("""COMPUTED_VALUE"""),0)</f>
        <v>0</v>
      </c>
      <c r="M7" s="23">
        <f ca="1">IFERROR(__xludf.DUMMYFUNCTION("""COMPUTED_VALUE"""),0)</f>
        <v>0</v>
      </c>
      <c r="N7" s="23">
        <f ca="1">IFERROR(__xludf.DUMMYFUNCTION("""COMPUTED_VALUE"""),0)</f>
        <v>0</v>
      </c>
      <c r="O7" s="23">
        <f ca="1">IFERROR(__xludf.DUMMYFUNCTION("""COMPUTED_VALUE"""),0)</f>
        <v>0</v>
      </c>
      <c r="P7" s="23">
        <f ca="1">IFERROR(__xludf.DUMMYFUNCTION("""COMPUTED_VALUE"""),0)</f>
        <v>0</v>
      </c>
      <c r="Q7" s="23">
        <f ca="1">IFERROR(__xludf.DUMMYFUNCTION("""COMPUTED_VALUE"""),0)</f>
        <v>0</v>
      </c>
      <c r="R7" s="23">
        <f ca="1">IFERROR(__xludf.DUMMYFUNCTION("""COMPUTED_VALUE"""),0)</f>
        <v>0</v>
      </c>
      <c r="S7" s="23">
        <f ca="1">IFERROR(__xludf.DUMMYFUNCTION("""COMPUTED_VALUE"""),3)</f>
        <v>3</v>
      </c>
      <c r="T7" s="23"/>
    </row>
    <row r="8" spans="1:20">
      <c r="A8" s="23" t="str">
        <f ca="1">IFERROR(__xludf.DUMMYFUNCTION("""COMPUTED_VALUE"""),"MOTOS PUESTAS A DISPOSICION")</f>
        <v>MOTOS PUESTAS A DISPOSICION</v>
      </c>
      <c r="B8" s="23">
        <f ca="1">IFERROR(__xludf.DUMMYFUNCTION("""COMPUTED_VALUE"""),40)</f>
        <v>40</v>
      </c>
      <c r="C8" s="23" t="str">
        <f ca="1">IFERROR(__xludf.DUMMYFUNCTION("""COMPUTED_VALUE"""),"MOTOCICLETAS")</f>
        <v>MOTOCICLETAS</v>
      </c>
      <c r="D8" s="23" t="str">
        <f ca="1">IFERROR(__xludf.DUMMYFUNCTION("""COMPUTED_VALUE"""),"ASCENDENTE")</f>
        <v>ASCENDENTE</v>
      </c>
      <c r="E8" s="23" t="str">
        <f ca="1">IFERROR(__xludf.DUMMYFUNCTION("""COMPUTED_VALUE"""),"BITACORA OPERATIVA")</f>
        <v>BITACORA OPERATIVA</v>
      </c>
      <c r="F8" s="23">
        <f ca="1">IFERROR(__xludf.DUMMYFUNCTION("""COMPUTED_VALUE"""),12.5)</f>
        <v>12.5</v>
      </c>
      <c r="G8" s="23">
        <f ca="1">IFERROR(__xludf.DUMMYFUNCTION("""COMPUTED_VALUE"""),0)</f>
        <v>0</v>
      </c>
      <c r="H8" s="23">
        <f ca="1">IFERROR(__xludf.DUMMYFUNCTION("""COMPUTED_VALUE"""),0)</f>
        <v>0</v>
      </c>
      <c r="I8" s="23">
        <f ca="1">IFERROR(__xludf.DUMMYFUNCTION("""COMPUTED_VALUE"""),0)</f>
        <v>0</v>
      </c>
      <c r="J8" s="23">
        <f ca="1">IFERROR(__xludf.DUMMYFUNCTION("""COMPUTED_VALUE"""),5)</f>
        <v>5</v>
      </c>
      <c r="K8" s="23">
        <f ca="1">IFERROR(__xludf.DUMMYFUNCTION("""COMPUTED_VALUE"""),0)</f>
        <v>0</v>
      </c>
      <c r="L8" s="23">
        <f ca="1">IFERROR(__xludf.DUMMYFUNCTION("""COMPUTED_VALUE"""),0)</f>
        <v>0</v>
      </c>
      <c r="M8" s="23">
        <f ca="1">IFERROR(__xludf.DUMMYFUNCTION("""COMPUTED_VALUE"""),0)</f>
        <v>0</v>
      </c>
      <c r="N8" s="23">
        <f ca="1">IFERROR(__xludf.DUMMYFUNCTION("""COMPUTED_VALUE"""),0)</f>
        <v>0</v>
      </c>
      <c r="O8" s="23">
        <f ca="1">IFERROR(__xludf.DUMMYFUNCTION("""COMPUTED_VALUE"""),0)</f>
        <v>0</v>
      </c>
      <c r="P8" s="23">
        <f ca="1">IFERROR(__xludf.DUMMYFUNCTION("""COMPUTED_VALUE"""),0)</f>
        <v>0</v>
      </c>
      <c r="Q8" s="23">
        <f ca="1">IFERROR(__xludf.DUMMYFUNCTION("""COMPUTED_VALUE"""),0)</f>
        <v>0</v>
      </c>
      <c r="R8" s="23">
        <f ca="1">IFERROR(__xludf.DUMMYFUNCTION("""COMPUTED_VALUE"""),0)</f>
        <v>0</v>
      </c>
      <c r="S8" s="23">
        <f ca="1">IFERROR(__xludf.DUMMYFUNCTION("""COMPUTED_VALUE"""),5)</f>
        <v>5</v>
      </c>
      <c r="T8" s="23"/>
    </row>
    <row r="9" spans="1:20">
      <c r="A9" s="23" t="str">
        <f ca="1">IFERROR(__xludf.DUMMYFUNCTION("""COMPUTED_VALUE"""),"PERSONAS DETENIDAS POR FALTAS ADMINISTRATIVAS")</f>
        <v>PERSONAS DETENIDAS POR FALTAS ADMINISTRATIVAS</v>
      </c>
      <c r="B9" s="23">
        <f ca="1">IFERROR(__xludf.DUMMYFUNCTION("""COMPUTED_VALUE"""),120)</f>
        <v>120</v>
      </c>
      <c r="C9" s="23" t="str">
        <f ca="1">IFERROR(__xludf.DUMMYFUNCTION("""COMPUTED_VALUE"""),"NÚM. DE PERSONAS")</f>
        <v>NÚM. DE PERSONAS</v>
      </c>
      <c r="D9" s="23" t="str">
        <f ca="1">IFERROR(__xludf.DUMMYFUNCTION("""COMPUTED_VALUE"""),"DESCENDENTE")</f>
        <v>DESCENDENTE</v>
      </c>
      <c r="E9" s="23" t="str">
        <f ca="1">IFERROR(__xludf.DUMMYFUNCTION("""COMPUTED_VALUE"""),"BITACORA OPERATIVA")</f>
        <v>BITACORA OPERATIVA</v>
      </c>
      <c r="F9" s="23">
        <f ca="1">IFERROR(__xludf.DUMMYFUNCTION("""COMPUTED_VALUE"""),4.16666666666666)</f>
        <v>4.1666666666666599</v>
      </c>
      <c r="G9" s="23">
        <f ca="1">IFERROR(__xludf.DUMMYFUNCTION("""COMPUTED_VALUE"""),0)</f>
        <v>0</v>
      </c>
      <c r="H9" s="23">
        <f ca="1">IFERROR(__xludf.DUMMYFUNCTION("""COMPUTED_VALUE"""),0)</f>
        <v>0</v>
      </c>
      <c r="I9" s="23">
        <f ca="1">IFERROR(__xludf.DUMMYFUNCTION("""COMPUTED_VALUE"""),0)</f>
        <v>0</v>
      </c>
      <c r="J9" s="23">
        <f ca="1">IFERROR(__xludf.DUMMYFUNCTION("""COMPUTED_VALUE"""),5)</f>
        <v>5</v>
      </c>
      <c r="K9" s="23">
        <f ca="1">IFERROR(__xludf.DUMMYFUNCTION("""COMPUTED_VALUE"""),0)</f>
        <v>0</v>
      </c>
      <c r="L9" s="23">
        <f ca="1">IFERROR(__xludf.DUMMYFUNCTION("""COMPUTED_VALUE"""),0)</f>
        <v>0</v>
      </c>
      <c r="M9" s="23">
        <f ca="1">IFERROR(__xludf.DUMMYFUNCTION("""COMPUTED_VALUE"""),0)</f>
        <v>0</v>
      </c>
      <c r="N9" s="23">
        <f ca="1">IFERROR(__xludf.DUMMYFUNCTION("""COMPUTED_VALUE"""),0)</f>
        <v>0</v>
      </c>
      <c r="O9" s="23">
        <f ca="1">IFERROR(__xludf.DUMMYFUNCTION("""COMPUTED_VALUE"""),0)</f>
        <v>0</v>
      </c>
      <c r="P9" s="23">
        <f ca="1">IFERROR(__xludf.DUMMYFUNCTION("""COMPUTED_VALUE"""),0)</f>
        <v>0</v>
      </c>
      <c r="Q9" s="23">
        <f ca="1">IFERROR(__xludf.DUMMYFUNCTION("""COMPUTED_VALUE"""),0)</f>
        <v>0</v>
      </c>
      <c r="R9" s="23">
        <f ca="1">IFERROR(__xludf.DUMMYFUNCTION("""COMPUTED_VALUE"""),0)</f>
        <v>0</v>
      </c>
      <c r="S9" s="23">
        <f ca="1">IFERROR(__xludf.DUMMYFUNCTION("""COMPUTED_VALUE"""),5)</f>
        <v>5</v>
      </c>
      <c r="T9" s="23"/>
    </row>
    <row r="10" spans="1:20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</row>
    <row r="11" spans="1:20">
      <c r="A11" s="23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</row>
    <row r="12" spans="1:20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</row>
    <row r="13" spans="1:20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</row>
    <row r="14" spans="1:20">
      <c r="A14" s="23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</row>
    <row r="15" spans="1:20">
      <c r="A15" s="23"/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</row>
    <row r="16" spans="1:20">
      <c r="A16" s="23"/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</row>
    <row r="17" spans="1:20">
      <c r="A17" s="23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</row>
    <row r="18" spans="1:20">
      <c r="A18" s="2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</row>
    <row r="19" spans="1:20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</row>
    <row r="20" spans="1:20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</row>
    <row r="21" spans="1:20">
      <c r="A21" s="23"/>
      <c r="B21" s="23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</row>
    <row r="22" spans="1:20">
      <c r="A22" s="23"/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</row>
    <row r="23" spans="1:20">
      <c r="A23" s="23"/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</row>
    <row r="24" spans="1:20">
      <c r="A24" s="23"/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</row>
    <row r="25" spans="1:20">
      <c r="A25" s="23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</row>
    <row r="26" spans="1:20">
      <c r="A26" s="23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</row>
    <row r="27" spans="1:20">
      <c r="A27" s="23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</row>
    <row r="28" spans="1:20">
      <c r="A28" s="23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</row>
    <row r="29" spans="1:20">
      <c r="A29" s="23"/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</row>
    <row r="30" spans="1:20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</row>
    <row r="31" spans="1:20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</row>
    <row r="32" spans="1:20">
      <c r="A32" s="23"/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</row>
    <row r="33" spans="1:20">
      <c r="A33" s="23"/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</row>
    <row r="34" spans="1:20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</row>
    <row r="35" spans="1:20">
      <c r="A35" s="23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</row>
    <row r="36" spans="1:20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</row>
    <row r="37" spans="1:20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</row>
    <row r="38" spans="1:20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</row>
    <row r="39" spans="1:20">
      <c r="A39" s="23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</row>
    <row r="40" spans="1:20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</row>
    <row r="41" spans="1:20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</row>
    <row r="42" spans="1:20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</row>
    <row r="43" spans="1:20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</row>
    <row r="44" spans="1:20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</row>
    <row r="45" spans="1:20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</row>
    <row r="46" spans="1:20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</row>
    <row r="47" spans="1:20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</row>
    <row r="48" spans="1:20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</row>
    <row r="49" spans="1:20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</row>
    <row r="50" spans="1:20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</row>
    <row r="51" spans="1:20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</row>
    <row r="52" spans="1:20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</row>
    <row r="53" spans="1:20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</row>
    <row r="54" spans="1:20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</row>
    <row r="55" spans="1:20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</row>
    <row r="56" spans="1:20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</row>
    <row r="57" spans="1:20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</row>
    <row r="58" spans="1:20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</row>
    <row r="59" spans="1:20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</row>
    <row r="60" spans="1:20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</row>
    <row r="61" spans="1:20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</row>
    <row r="62" spans="1:20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</row>
    <row r="63" spans="1:20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</row>
    <row r="64" spans="1:20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</row>
    <row r="65" spans="1:20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</row>
    <row r="66" spans="1:20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</row>
    <row r="67" spans="1:20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</row>
    <row r="68" spans="1:20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</row>
    <row r="69" spans="1:20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</row>
    <row r="70" spans="1:20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</row>
    <row r="71" spans="1:20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</row>
    <row r="72" spans="1:20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</row>
    <row r="73" spans="1:20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</row>
    <row r="74" spans="1:20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</row>
    <row r="75" spans="1:20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</row>
    <row r="76" spans="1:20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</row>
    <row r="77" spans="1:20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</row>
    <row r="78" spans="1:20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</row>
    <row r="79" spans="1:20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</row>
    <row r="80" spans="1:20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</row>
    <row r="81" spans="1:20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</row>
    <row r="82" spans="1:20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</row>
    <row r="83" spans="1:20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</row>
    <row r="84" spans="1:20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</row>
    <row r="85" spans="1:20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</row>
    <row r="86" spans="1:20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</row>
    <row r="87" spans="1:20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</row>
    <row r="88" spans="1:20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</row>
    <row r="89" spans="1:20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</row>
    <row r="90" spans="1:20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</row>
    <row r="91" spans="1:20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</row>
    <row r="92" spans="1:20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</row>
    <row r="93" spans="1:20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</row>
    <row r="94" spans="1:20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</row>
    <row r="95" spans="1:20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</row>
    <row r="96" spans="1:20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</row>
    <row r="97" spans="1:20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</row>
    <row r="98" spans="1:20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</row>
    <row r="99" spans="1:20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</row>
    <row r="100" spans="1:20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</row>
    <row r="101" spans="1:20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</row>
    <row r="102" spans="1:20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</row>
    <row r="103" spans="1:20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</row>
    <row r="104" spans="1:20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</row>
    <row r="105" spans="1:20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</row>
    <row r="106" spans="1:20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</row>
    <row r="107" spans="1:20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</row>
    <row r="108" spans="1:20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</row>
    <row r="109" spans="1:20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</row>
    <row r="110" spans="1:20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</row>
    <row r="111" spans="1:20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</row>
    <row r="112" spans="1:20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</row>
    <row r="113" spans="1:20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</row>
    <row r="114" spans="1:20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</row>
    <row r="115" spans="1:20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</row>
    <row r="116" spans="1:20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</row>
    <row r="117" spans="1:20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</row>
    <row r="118" spans="1:20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</row>
    <row r="119" spans="1:20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</row>
    <row r="120" spans="1:20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</row>
    <row r="121" spans="1:20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</row>
    <row r="122" spans="1:20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</row>
    <row r="123" spans="1:20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</row>
    <row r="124" spans="1:20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</row>
    <row r="125" spans="1:20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</row>
    <row r="126" spans="1:20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</row>
    <row r="127" spans="1:20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</row>
    <row r="128" spans="1:20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</row>
    <row r="129" spans="1:20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</row>
    <row r="130" spans="1:20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</row>
    <row r="131" spans="1:20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</row>
    <row r="132" spans="1:20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</row>
    <row r="133" spans="1:20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</row>
    <row r="134" spans="1:20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</row>
    <row r="135" spans="1:20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</row>
    <row r="136" spans="1:20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</row>
    <row r="137" spans="1:20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</row>
    <row r="138" spans="1:20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</row>
    <row r="139" spans="1:20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</row>
    <row r="140" spans="1:20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</row>
    <row r="141" spans="1:20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</row>
    <row r="142" spans="1:20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</row>
    <row r="143" spans="1:20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</row>
    <row r="144" spans="1:20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</row>
    <row r="145" spans="1:20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</row>
    <row r="146" spans="1:20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</row>
    <row r="147" spans="1:20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</row>
    <row r="148" spans="1:20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</row>
    <row r="149" spans="1:20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</row>
    <row r="150" spans="1:20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</row>
    <row r="151" spans="1:20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</row>
    <row r="152" spans="1:20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</row>
    <row r="153" spans="1:20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</row>
    <row r="154" spans="1:20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</row>
    <row r="155" spans="1:20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</row>
    <row r="156" spans="1:20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</row>
    <row r="157" spans="1:20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</row>
    <row r="158" spans="1:20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</row>
    <row r="159" spans="1:20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</row>
    <row r="160" spans="1:20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</row>
    <row r="161" spans="1:20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</row>
    <row r="162" spans="1:20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</row>
    <row r="163" spans="1:20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</row>
    <row r="164" spans="1:20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</row>
    <row r="165" spans="1:20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</row>
    <row r="166" spans="1:20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</row>
    <row r="167" spans="1:20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</row>
    <row r="168" spans="1:20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</row>
    <row r="169" spans="1:20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</row>
    <row r="170" spans="1:20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</row>
    <row r="171" spans="1:20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</row>
    <row r="172" spans="1:20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</row>
    <row r="173" spans="1:20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</row>
    <row r="174" spans="1:20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</row>
    <row r="175" spans="1:20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</row>
    <row r="176" spans="1:20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</row>
    <row r="177" spans="1:20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</row>
    <row r="178" spans="1:20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</row>
    <row r="179" spans="1:20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</row>
    <row r="180" spans="1:20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</row>
    <row r="181" spans="1:20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</row>
    <row r="182" spans="1:20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</row>
    <row r="183" spans="1:20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</row>
    <row r="184" spans="1:20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</row>
    <row r="185" spans="1:20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</row>
    <row r="186" spans="1:20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</row>
    <row r="187" spans="1:20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</row>
    <row r="188" spans="1:20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</row>
    <row r="189" spans="1:20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</row>
    <row r="190" spans="1:20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</row>
    <row r="191" spans="1:20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</row>
    <row r="192" spans="1:20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</row>
    <row r="193" spans="1:20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</row>
    <row r="194" spans="1:20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</row>
    <row r="195" spans="1:20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</row>
    <row r="196" spans="1:20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</row>
    <row r="197" spans="1:20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</row>
    <row r="198" spans="1:20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</row>
    <row r="199" spans="1:20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</row>
    <row r="200" spans="1:20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</row>
    <row r="201" spans="1:20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</row>
    <row r="202" spans="1:20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</row>
    <row r="203" spans="1:20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</row>
    <row r="204" spans="1:20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</row>
    <row r="205" spans="1:20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</row>
    <row r="206" spans="1:20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</row>
    <row r="207" spans="1:20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</row>
    <row r="208" spans="1:20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</row>
    <row r="209" spans="1:20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</row>
    <row r="210" spans="1:20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</row>
    <row r="211" spans="1:20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</row>
    <row r="212" spans="1:20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</row>
    <row r="213" spans="1:20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</row>
    <row r="214" spans="1:20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</row>
    <row r="215" spans="1:20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</row>
    <row r="216" spans="1:20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</row>
    <row r="217" spans="1:20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</row>
    <row r="218" spans="1:20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</row>
    <row r="219" spans="1:20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</row>
    <row r="220" spans="1:20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</row>
    <row r="221" spans="1:20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</row>
    <row r="222" spans="1:20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</row>
    <row r="223" spans="1:20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</row>
    <row r="224" spans="1:20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</row>
    <row r="225" spans="1:20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</row>
    <row r="226" spans="1:20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</row>
    <row r="227" spans="1:20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</row>
    <row r="228" spans="1:20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</row>
    <row r="229" spans="1:20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</row>
    <row r="230" spans="1:20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</row>
    <row r="231" spans="1:20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</row>
    <row r="232" spans="1:20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</row>
    <row r="233" spans="1:20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</row>
    <row r="234" spans="1:20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</row>
    <row r="235" spans="1:20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</row>
    <row r="236" spans="1:20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</row>
    <row r="237" spans="1:20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</row>
    <row r="238" spans="1:20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</row>
    <row r="239" spans="1:20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</row>
    <row r="240" spans="1:20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</row>
    <row r="241" spans="1:20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</row>
    <row r="242" spans="1:20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</row>
    <row r="243" spans="1:20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</row>
    <row r="244" spans="1:20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</row>
    <row r="245" spans="1:20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</row>
    <row r="246" spans="1:20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</row>
    <row r="247" spans="1:20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</row>
    <row r="248" spans="1:20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</row>
    <row r="249" spans="1:20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</row>
    <row r="250" spans="1:20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</row>
    <row r="251" spans="1:20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</row>
    <row r="252" spans="1:20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</row>
    <row r="253" spans="1:20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</row>
    <row r="254" spans="1:20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</row>
    <row r="255" spans="1:20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</row>
    <row r="256" spans="1:20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</row>
    <row r="257" spans="1:20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</row>
    <row r="258" spans="1:20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</row>
    <row r="259" spans="1:20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</row>
    <row r="260" spans="1:20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</row>
    <row r="261" spans="1:20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</row>
    <row r="262" spans="1:20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</row>
    <row r="263" spans="1:20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</row>
    <row r="264" spans="1:20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</row>
    <row r="265" spans="1:20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</row>
    <row r="266" spans="1:20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</row>
    <row r="267" spans="1:20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</row>
    <row r="268" spans="1:20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</row>
    <row r="269" spans="1:20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</row>
    <row r="270" spans="1:20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</row>
    <row r="271" spans="1:20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</row>
    <row r="272" spans="1:20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</row>
    <row r="273" spans="1:20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</row>
    <row r="274" spans="1:20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</row>
    <row r="275" spans="1:20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</row>
    <row r="276" spans="1:20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</row>
    <row r="277" spans="1:20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</row>
    <row r="278" spans="1:20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</row>
    <row r="279" spans="1:20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</row>
    <row r="280" spans="1:20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</row>
    <row r="281" spans="1:20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</row>
    <row r="282" spans="1:20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</row>
    <row r="283" spans="1:20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</row>
    <row r="284" spans="1:20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</row>
    <row r="285" spans="1:20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</row>
    <row r="286" spans="1:20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</row>
    <row r="287" spans="1:20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</row>
    <row r="288" spans="1:20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</row>
    <row r="289" spans="1:20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</row>
    <row r="290" spans="1:20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</row>
    <row r="291" spans="1:20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</row>
    <row r="292" spans="1:20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</row>
    <row r="293" spans="1:20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</row>
    <row r="294" spans="1:20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</row>
    <row r="295" spans="1:20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</row>
    <row r="296" spans="1:20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</row>
    <row r="297" spans="1:20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</row>
    <row r="298" spans="1:20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</row>
    <row r="299" spans="1:20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</row>
    <row r="300" spans="1:20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</row>
    <row r="301" spans="1:20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</row>
    <row r="302" spans="1:20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</row>
    <row r="303" spans="1:20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</row>
    <row r="304" spans="1:20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</row>
    <row r="305" spans="1:20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</row>
    <row r="306" spans="1:20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</row>
    <row r="307" spans="1:20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</row>
    <row r="308" spans="1:20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</row>
    <row r="309" spans="1:20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</row>
    <row r="310" spans="1:20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</row>
    <row r="311" spans="1:20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</row>
    <row r="312" spans="1:20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</row>
    <row r="313" spans="1:20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</row>
    <row r="314" spans="1:20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</row>
    <row r="315" spans="1:20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</row>
    <row r="316" spans="1:20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</row>
    <row r="317" spans="1:20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</row>
    <row r="318" spans="1:20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</row>
    <row r="319" spans="1:20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</row>
    <row r="320" spans="1:20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</row>
    <row r="321" spans="1:20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</row>
    <row r="322" spans="1:20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</row>
    <row r="323" spans="1:20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</row>
    <row r="324" spans="1:20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</row>
    <row r="325" spans="1:20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</row>
    <row r="326" spans="1:20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</row>
    <row r="327" spans="1:20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</row>
    <row r="328" spans="1:20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</row>
    <row r="329" spans="1:20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</row>
    <row r="330" spans="1:20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</row>
    <row r="331" spans="1:20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</row>
    <row r="332" spans="1:20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</row>
    <row r="333" spans="1:20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</row>
    <row r="334" spans="1:20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</row>
    <row r="335" spans="1:20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</row>
    <row r="336" spans="1:20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</row>
    <row r="337" spans="1:20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</row>
    <row r="338" spans="1:20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</row>
    <row r="339" spans="1:20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</row>
    <row r="340" spans="1:20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</row>
    <row r="341" spans="1:20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</row>
    <row r="342" spans="1:20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</row>
    <row r="343" spans="1:20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</row>
    <row r="344" spans="1:20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</row>
    <row r="345" spans="1:20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</row>
    <row r="346" spans="1:20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</row>
    <row r="347" spans="1:20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</row>
    <row r="348" spans="1:20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</row>
    <row r="349" spans="1:20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</row>
    <row r="350" spans="1:20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</row>
    <row r="351" spans="1:20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</row>
    <row r="352" spans="1:20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</row>
    <row r="353" spans="1:20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</row>
    <row r="354" spans="1:20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</row>
    <row r="355" spans="1:20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</row>
    <row r="356" spans="1:20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</row>
    <row r="357" spans="1:20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</row>
    <row r="358" spans="1:20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</row>
    <row r="359" spans="1:20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</row>
    <row r="360" spans="1:20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</row>
    <row r="361" spans="1:20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</row>
    <row r="362" spans="1:20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</row>
    <row r="363" spans="1:20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</row>
    <row r="364" spans="1:20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</row>
    <row r="365" spans="1:20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</row>
    <row r="366" spans="1:20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</row>
    <row r="367" spans="1:20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</row>
    <row r="368" spans="1:20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</row>
    <row r="369" spans="1:20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</row>
    <row r="370" spans="1:20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</row>
    <row r="371" spans="1:20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</row>
    <row r="372" spans="1:20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</row>
    <row r="373" spans="1:20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</row>
    <row r="374" spans="1:20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</row>
    <row r="375" spans="1:20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</row>
    <row r="376" spans="1:20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</row>
    <row r="377" spans="1:20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</row>
    <row r="378" spans="1:20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</row>
    <row r="379" spans="1:20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</row>
    <row r="380" spans="1:20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</row>
    <row r="381" spans="1:20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</row>
    <row r="382" spans="1:20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</row>
    <row r="383" spans="1:20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</row>
    <row r="384" spans="1:20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</row>
    <row r="385" spans="1:20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</row>
    <row r="386" spans="1:20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</row>
    <row r="387" spans="1:20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</row>
    <row r="388" spans="1:20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</row>
    <row r="389" spans="1:20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</row>
    <row r="390" spans="1:20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</row>
    <row r="391" spans="1:20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</row>
    <row r="392" spans="1:20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</row>
    <row r="393" spans="1:20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</row>
    <row r="394" spans="1:20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</row>
    <row r="395" spans="1:20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</row>
    <row r="396" spans="1:20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</row>
    <row r="397" spans="1:20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</row>
    <row r="398" spans="1:20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</row>
    <row r="399" spans="1:20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</row>
    <row r="400" spans="1:20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</row>
    <row r="401" spans="1:20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</row>
    <row r="402" spans="1:20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</row>
    <row r="403" spans="1:20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</row>
    <row r="404" spans="1:20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</row>
    <row r="405" spans="1:20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</row>
    <row r="406" spans="1:20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</row>
    <row r="407" spans="1:20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</row>
    <row r="408" spans="1:20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</row>
    <row r="409" spans="1:20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</row>
    <row r="410" spans="1:20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</row>
    <row r="411" spans="1:20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</row>
    <row r="412" spans="1:20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</row>
    <row r="413" spans="1:20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</row>
    <row r="414" spans="1:20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</row>
    <row r="415" spans="1:20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</row>
    <row r="416" spans="1:20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</row>
    <row r="417" spans="1:20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</row>
    <row r="418" spans="1:20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</row>
    <row r="419" spans="1:20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</row>
    <row r="420" spans="1:20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</row>
    <row r="421" spans="1:20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</row>
    <row r="422" spans="1:20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</row>
    <row r="423" spans="1:20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</row>
    <row r="424" spans="1:20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</row>
    <row r="425" spans="1:20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</row>
    <row r="426" spans="1:20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</row>
    <row r="427" spans="1:20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</row>
    <row r="428" spans="1:20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</row>
    <row r="429" spans="1:20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</row>
    <row r="430" spans="1:20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</row>
    <row r="431" spans="1:20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</row>
    <row r="432" spans="1:20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</row>
    <row r="433" spans="1:20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</row>
    <row r="434" spans="1:20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</row>
    <row r="435" spans="1:20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</row>
    <row r="436" spans="1:20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</row>
    <row r="437" spans="1:20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</row>
    <row r="438" spans="1:20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</row>
    <row r="439" spans="1:20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</row>
    <row r="440" spans="1:20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</row>
    <row r="441" spans="1:20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</row>
    <row r="442" spans="1:20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</row>
    <row r="443" spans="1:20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</row>
    <row r="444" spans="1:20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</row>
    <row r="445" spans="1:20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</row>
    <row r="446" spans="1:20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</row>
    <row r="447" spans="1:20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</row>
    <row r="448" spans="1:20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</row>
    <row r="449" spans="1:20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</row>
    <row r="450" spans="1:20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</row>
    <row r="451" spans="1:20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</row>
    <row r="452" spans="1:20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</row>
    <row r="453" spans="1:20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</row>
    <row r="454" spans="1:20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</row>
    <row r="455" spans="1:20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</row>
    <row r="456" spans="1:20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</row>
    <row r="457" spans="1:20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</row>
    <row r="458" spans="1:20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</row>
    <row r="459" spans="1:20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</row>
    <row r="460" spans="1:20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</row>
    <row r="461" spans="1:20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</row>
    <row r="462" spans="1:20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</row>
    <row r="463" spans="1:20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</row>
    <row r="464" spans="1:20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</row>
    <row r="465" spans="1:20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</row>
    <row r="466" spans="1:20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</row>
    <row r="467" spans="1:20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</row>
    <row r="468" spans="1:20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</row>
    <row r="469" spans="1:20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</row>
    <row r="470" spans="1:20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</row>
    <row r="471" spans="1:20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</row>
    <row r="472" spans="1:20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</row>
    <row r="473" spans="1:20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</row>
    <row r="474" spans="1:20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</row>
    <row r="475" spans="1:20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</row>
    <row r="476" spans="1:20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</row>
    <row r="477" spans="1:20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</row>
    <row r="478" spans="1:20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</row>
    <row r="479" spans="1:20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</row>
    <row r="480" spans="1:20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</row>
    <row r="481" spans="1:20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</row>
    <row r="482" spans="1:20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</row>
    <row r="483" spans="1:20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</row>
    <row r="484" spans="1:20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</row>
    <row r="485" spans="1:20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</row>
    <row r="486" spans="1:20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</row>
    <row r="487" spans="1:20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</row>
    <row r="488" spans="1:20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</row>
    <row r="489" spans="1:20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</row>
    <row r="490" spans="1:20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</row>
    <row r="491" spans="1:20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</row>
    <row r="492" spans="1:20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</row>
    <row r="493" spans="1:20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</row>
    <row r="494" spans="1:20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</row>
    <row r="495" spans="1:20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</row>
    <row r="496" spans="1:20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</row>
    <row r="497" spans="1:20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</row>
    <row r="498" spans="1:20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</row>
    <row r="499" spans="1:20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</row>
    <row r="500" spans="1:20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</row>
    <row r="501" spans="1:20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</row>
    <row r="502" spans="1:20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</row>
    <row r="503" spans="1:20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</row>
    <row r="504" spans="1:20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</row>
    <row r="505" spans="1:20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</row>
    <row r="506" spans="1:20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</row>
    <row r="507" spans="1:20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</row>
    <row r="508" spans="1:20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</row>
    <row r="509" spans="1:20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</row>
    <row r="510" spans="1:20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</row>
    <row r="511" spans="1:20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</row>
    <row r="512" spans="1:20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</row>
    <row r="513" spans="1:20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</row>
    <row r="514" spans="1:20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</row>
    <row r="515" spans="1:20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</row>
    <row r="516" spans="1:20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</row>
    <row r="517" spans="1:20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</row>
    <row r="518" spans="1:20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</row>
    <row r="519" spans="1:20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</row>
    <row r="520" spans="1:20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</row>
    <row r="521" spans="1:20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</row>
    <row r="522" spans="1:20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</row>
    <row r="523" spans="1:20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</row>
    <row r="524" spans="1:20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</row>
    <row r="525" spans="1:20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</row>
    <row r="526" spans="1:20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</row>
    <row r="527" spans="1:20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</row>
    <row r="528" spans="1:20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</row>
    <row r="529" spans="1:20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</row>
    <row r="530" spans="1:20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</row>
    <row r="531" spans="1:20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</row>
    <row r="532" spans="1:20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</row>
    <row r="533" spans="1:20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</row>
    <row r="534" spans="1:20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</row>
    <row r="535" spans="1:20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</row>
    <row r="536" spans="1:20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</row>
    <row r="537" spans="1:20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</row>
    <row r="538" spans="1:20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</row>
    <row r="539" spans="1:20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</row>
    <row r="540" spans="1:20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</row>
    <row r="541" spans="1:20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</row>
    <row r="542" spans="1:20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</row>
    <row r="543" spans="1:20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</row>
    <row r="544" spans="1:20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</row>
    <row r="545" spans="1:20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</row>
    <row r="546" spans="1:20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</row>
    <row r="547" spans="1:20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</row>
    <row r="548" spans="1:20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</row>
    <row r="549" spans="1:20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</row>
    <row r="550" spans="1:20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</row>
    <row r="551" spans="1:20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</row>
    <row r="552" spans="1:20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</row>
    <row r="553" spans="1:20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</row>
    <row r="554" spans="1:20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</row>
    <row r="555" spans="1:20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</row>
    <row r="556" spans="1:20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</row>
    <row r="557" spans="1:20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</row>
    <row r="558" spans="1:20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</row>
    <row r="559" spans="1:20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</row>
    <row r="560" spans="1:20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</row>
    <row r="561" spans="1:20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</row>
    <row r="562" spans="1:20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</row>
    <row r="563" spans="1:20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</row>
    <row r="564" spans="1:20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</row>
    <row r="565" spans="1:20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</row>
    <row r="566" spans="1:20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</row>
    <row r="567" spans="1:20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</row>
    <row r="568" spans="1:20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</row>
    <row r="569" spans="1:20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</row>
    <row r="570" spans="1:20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</row>
    <row r="571" spans="1:20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</row>
    <row r="572" spans="1:20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</row>
    <row r="573" spans="1:20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</row>
    <row r="574" spans="1:20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</row>
    <row r="575" spans="1:20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</row>
    <row r="576" spans="1:20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</row>
    <row r="577" spans="1:20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</row>
    <row r="578" spans="1:20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</row>
    <row r="579" spans="1:20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</row>
    <row r="580" spans="1:20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</row>
    <row r="581" spans="1:20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</row>
    <row r="582" spans="1:20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</row>
    <row r="583" spans="1:20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</row>
    <row r="584" spans="1:20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</row>
    <row r="585" spans="1:20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</row>
    <row r="586" spans="1:20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</row>
    <row r="587" spans="1:20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</row>
    <row r="588" spans="1:20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</row>
    <row r="589" spans="1:20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</row>
    <row r="590" spans="1:20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</row>
    <row r="591" spans="1:20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</row>
    <row r="592" spans="1:20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</row>
    <row r="593" spans="1:20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</row>
    <row r="594" spans="1:20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</row>
    <row r="595" spans="1:20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</row>
    <row r="596" spans="1:20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</row>
    <row r="597" spans="1:20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</row>
    <row r="598" spans="1:20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</row>
    <row r="599" spans="1:20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</row>
    <row r="600" spans="1:20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</row>
    <row r="601" spans="1:20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</row>
    <row r="602" spans="1:20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</row>
    <row r="603" spans="1:20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</row>
    <row r="604" spans="1:20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</row>
    <row r="605" spans="1:20">
      <c r="A605" s="23"/>
      <c r="B605" s="23"/>
      <c r="C605" s="23"/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</row>
    <row r="606" spans="1:20">
      <c r="A606" s="23"/>
      <c r="B606" s="23"/>
      <c r="C606" s="23"/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</row>
    <row r="607" spans="1:20">
      <c r="A607" s="23"/>
      <c r="B607" s="23"/>
      <c r="C607" s="23"/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</row>
    <row r="608" spans="1:20">
      <c r="A608" s="23"/>
      <c r="B608" s="23"/>
      <c r="C608" s="23"/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</row>
    <row r="609" spans="1:20">
      <c r="A609" s="23"/>
      <c r="B609" s="23"/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</row>
    <row r="610" spans="1:20">
      <c r="A610" s="23"/>
      <c r="B610" s="23"/>
      <c r="C610" s="23"/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</row>
    <row r="611" spans="1:20">
      <c r="A611" s="23"/>
      <c r="B611" s="23"/>
      <c r="C611" s="23"/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</row>
    <row r="612" spans="1:20">
      <c r="A612" s="23"/>
      <c r="B612" s="23"/>
      <c r="C612" s="23"/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</row>
    <row r="613" spans="1:20">
      <c r="A613" s="23"/>
      <c r="B613" s="23"/>
      <c r="C613" s="23"/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</row>
    <row r="614" spans="1:20">
      <c r="A614" s="23"/>
      <c r="B614" s="23"/>
      <c r="C614" s="23"/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</row>
    <row r="615" spans="1:20">
      <c r="A615" s="23"/>
      <c r="B615" s="23"/>
      <c r="C615" s="23"/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</row>
    <row r="616" spans="1:20">
      <c r="A616" s="23"/>
      <c r="B616" s="23"/>
      <c r="C616" s="23"/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</row>
    <row r="617" spans="1:20">
      <c r="A617" s="23"/>
      <c r="B617" s="23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</row>
    <row r="618" spans="1:20">
      <c r="A618" s="23"/>
      <c r="B618" s="23"/>
      <c r="C618" s="23"/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</row>
    <row r="619" spans="1:20">
      <c r="A619" s="23"/>
      <c r="B619" s="23"/>
      <c r="C619" s="23"/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</row>
    <row r="620" spans="1:20">
      <c r="A620" s="23"/>
      <c r="B620" s="23"/>
      <c r="C620" s="23"/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</row>
    <row r="621" spans="1:20">
      <c r="A621" s="23"/>
      <c r="B621" s="23"/>
      <c r="C621" s="23"/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</row>
    <row r="622" spans="1:20">
      <c r="A622" s="23"/>
      <c r="B622" s="23"/>
      <c r="C622" s="23"/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</row>
    <row r="623" spans="1:20">
      <c r="A623" s="23"/>
      <c r="B623" s="23"/>
      <c r="C623" s="23"/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</row>
    <row r="624" spans="1:20">
      <c r="A624" s="23"/>
      <c r="B624" s="23"/>
      <c r="C624" s="23"/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</row>
    <row r="625" spans="1:20">
      <c r="A625" s="23"/>
      <c r="B625" s="23"/>
      <c r="C625" s="23"/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</row>
    <row r="626" spans="1:20">
      <c r="A626" s="23"/>
      <c r="B626" s="23"/>
      <c r="C626" s="23"/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</row>
    <row r="627" spans="1:20">
      <c r="A627" s="23"/>
      <c r="B627" s="23"/>
      <c r="C627" s="23"/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</row>
    <row r="628" spans="1:20">
      <c r="A628" s="23"/>
      <c r="B628" s="23"/>
      <c r="C628" s="23"/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</row>
    <row r="629" spans="1:20">
      <c r="A629" s="23"/>
      <c r="B629" s="23"/>
      <c r="C629" s="23"/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</row>
    <row r="630" spans="1:20">
      <c r="A630" s="23"/>
      <c r="B630" s="23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</row>
    <row r="631" spans="1:20">
      <c r="A631" s="23"/>
      <c r="B631" s="23"/>
      <c r="C631" s="23"/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</row>
    <row r="632" spans="1:20">
      <c r="A632" s="23"/>
      <c r="B632" s="23"/>
      <c r="C632" s="23"/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</row>
    <row r="633" spans="1:20">
      <c r="A633" s="23"/>
      <c r="B633" s="23"/>
      <c r="C633" s="23"/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</row>
    <row r="634" spans="1:20">
      <c r="A634" s="23"/>
      <c r="B634" s="23"/>
      <c r="C634" s="23"/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</row>
    <row r="635" spans="1:20">
      <c r="A635" s="23"/>
      <c r="B635" s="23"/>
      <c r="C635" s="23"/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</row>
    <row r="636" spans="1:20">
      <c r="A636" s="23"/>
      <c r="B636" s="23"/>
      <c r="C636" s="23"/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</row>
    <row r="637" spans="1:20">
      <c r="A637" s="23"/>
      <c r="B637" s="23"/>
      <c r="C637" s="23"/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</row>
    <row r="638" spans="1:20">
      <c r="A638" s="23"/>
      <c r="B638" s="23"/>
      <c r="C638" s="23"/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</row>
    <row r="639" spans="1:20">
      <c r="A639" s="23"/>
      <c r="B639" s="23"/>
      <c r="C639" s="23"/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</row>
    <row r="640" spans="1:20">
      <c r="A640" s="23"/>
      <c r="B640" s="23"/>
      <c r="C640" s="23"/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</row>
    <row r="641" spans="1:20">
      <c r="A641" s="23"/>
      <c r="B641" s="23"/>
      <c r="C641" s="23"/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</row>
    <row r="642" spans="1:20">
      <c r="A642" s="23"/>
      <c r="B642" s="23"/>
      <c r="C642" s="23"/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</row>
    <row r="643" spans="1:20">
      <c r="A643" s="23"/>
      <c r="B643" s="23"/>
      <c r="C643" s="23"/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</row>
    <row r="644" spans="1:20">
      <c r="A644" s="23"/>
      <c r="B644" s="23"/>
      <c r="C644" s="23"/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</row>
    <row r="645" spans="1:20">
      <c r="A645" s="23"/>
      <c r="B645" s="23"/>
      <c r="C645" s="23"/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</row>
    <row r="646" spans="1:20">
      <c r="A646" s="23"/>
      <c r="B646" s="23"/>
      <c r="C646" s="23"/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</row>
    <row r="647" spans="1:20">
      <c r="A647" s="23"/>
      <c r="B647" s="23"/>
      <c r="C647" s="23"/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</row>
    <row r="648" spans="1:20">
      <c r="A648" s="23"/>
      <c r="B648" s="23"/>
      <c r="C648" s="23"/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</row>
    <row r="649" spans="1:20">
      <c r="A649" s="23"/>
      <c r="B649" s="23"/>
      <c r="C649" s="23"/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</row>
    <row r="650" spans="1:20">
      <c r="A650" s="23"/>
      <c r="B650" s="23"/>
      <c r="C650" s="23"/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</row>
    <row r="651" spans="1:20">
      <c r="A651" s="23"/>
      <c r="B651" s="23"/>
      <c r="C651" s="23"/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</row>
    <row r="652" spans="1:20">
      <c r="A652" s="23"/>
      <c r="B652" s="23"/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</row>
    <row r="653" spans="1:20">
      <c r="A653" s="23"/>
      <c r="B653" s="23"/>
      <c r="C653" s="23"/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</row>
    <row r="654" spans="1:20">
      <c r="A654" s="23"/>
      <c r="B654" s="23"/>
      <c r="C654" s="23"/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</row>
    <row r="655" spans="1:20">
      <c r="A655" s="23"/>
      <c r="B655" s="23"/>
      <c r="C655" s="23"/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</row>
    <row r="656" spans="1:20">
      <c r="A656" s="23"/>
      <c r="B656" s="23"/>
      <c r="C656" s="23"/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</row>
    <row r="657" spans="1:20">
      <c r="A657" s="23"/>
      <c r="B657" s="23"/>
      <c r="C657" s="23"/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</row>
    <row r="658" spans="1:20">
      <c r="A658" s="23"/>
      <c r="B658" s="23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</row>
    <row r="659" spans="1:20">
      <c r="A659" s="23"/>
      <c r="B659" s="23"/>
      <c r="C659" s="23"/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</row>
    <row r="660" spans="1:20">
      <c r="A660" s="23"/>
      <c r="B660" s="23"/>
      <c r="C660" s="23"/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</row>
    <row r="661" spans="1:20">
      <c r="A661" s="23"/>
      <c r="B661" s="23"/>
      <c r="C661" s="23"/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</row>
    <row r="662" spans="1:20">
      <c r="A662" s="23"/>
      <c r="B662" s="23"/>
      <c r="C662" s="23"/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</row>
    <row r="663" spans="1:20">
      <c r="A663" s="23"/>
      <c r="B663" s="23"/>
      <c r="C663" s="23"/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</row>
    <row r="664" spans="1:20">
      <c r="A664" s="23"/>
      <c r="B664" s="23"/>
      <c r="C664" s="23"/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</row>
    <row r="665" spans="1:20">
      <c r="A665" s="23"/>
      <c r="B665" s="23"/>
      <c r="C665" s="23"/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</row>
    <row r="666" spans="1:20">
      <c r="A666" s="23"/>
      <c r="B666" s="23"/>
      <c r="C666" s="23"/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</row>
    <row r="667" spans="1:20">
      <c r="A667" s="23"/>
      <c r="B667" s="23"/>
      <c r="C667" s="23"/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</row>
    <row r="668" spans="1:20">
      <c r="A668" s="23"/>
      <c r="B668" s="23"/>
      <c r="C668" s="23"/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</row>
    <row r="669" spans="1:20">
      <c r="A669" s="23"/>
      <c r="B669" s="23"/>
      <c r="C669" s="23"/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</row>
    <row r="670" spans="1:20">
      <c r="A670" s="23"/>
      <c r="B670" s="23"/>
      <c r="C670" s="23"/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</row>
    <row r="671" spans="1:20">
      <c r="A671" s="23"/>
      <c r="B671" s="23"/>
      <c r="C671" s="23"/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</row>
    <row r="672" spans="1:20">
      <c r="A672" s="23"/>
      <c r="B672" s="23"/>
      <c r="C672" s="23"/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</row>
    <row r="673" spans="1:20">
      <c r="A673" s="23"/>
      <c r="B673" s="23"/>
      <c r="C673" s="23"/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</row>
    <row r="674" spans="1:20">
      <c r="A674" s="23"/>
      <c r="B674" s="23"/>
      <c r="C674" s="23"/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</row>
    <row r="675" spans="1:20">
      <c r="A675" s="23"/>
      <c r="B675" s="23"/>
      <c r="C675" s="23"/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</row>
    <row r="676" spans="1:20">
      <c r="A676" s="23"/>
      <c r="B676" s="23"/>
      <c r="C676" s="23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</row>
    <row r="677" spans="1:20">
      <c r="A677" s="23"/>
      <c r="B677" s="23"/>
      <c r="C677" s="23"/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</row>
    <row r="678" spans="1:20">
      <c r="A678" s="23"/>
      <c r="B678" s="23"/>
      <c r="C678" s="23"/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</row>
    <row r="679" spans="1:20">
      <c r="A679" s="23"/>
      <c r="B679" s="23"/>
      <c r="C679" s="23"/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</row>
    <row r="680" spans="1:20">
      <c r="A680" s="23"/>
      <c r="B680" s="23"/>
      <c r="C680" s="23"/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</row>
    <row r="681" spans="1:20">
      <c r="A681" s="23"/>
      <c r="B681" s="23"/>
      <c r="C681" s="23"/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</row>
    <row r="682" spans="1:20">
      <c r="A682" s="23"/>
      <c r="B682" s="23"/>
      <c r="C682" s="23"/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</row>
    <row r="683" spans="1:20">
      <c r="A683" s="23"/>
      <c r="B683" s="23"/>
      <c r="C683" s="23"/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</row>
    <row r="684" spans="1:20">
      <c r="A684" s="23"/>
      <c r="B684" s="23"/>
      <c r="C684" s="23"/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</row>
    <row r="685" spans="1:20">
      <c r="A685" s="23"/>
      <c r="B685" s="23"/>
      <c r="C685" s="23"/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</row>
    <row r="686" spans="1:20">
      <c r="A686" s="23"/>
      <c r="B686" s="23"/>
      <c r="C686" s="23"/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</row>
    <row r="687" spans="1:20">
      <c r="A687" s="23"/>
      <c r="B687" s="23"/>
      <c r="C687" s="23"/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</row>
    <row r="688" spans="1:20">
      <c r="A688" s="23"/>
      <c r="B688" s="23"/>
      <c r="C688" s="23"/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</row>
    <row r="689" spans="1:20">
      <c r="A689" s="23"/>
      <c r="B689" s="23"/>
      <c r="C689" s="23"/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</row>
    <row r="690" spans="1:20">
      <c r="A690" s="23"/>
      <c r="B690" s="23"/>
      <c r="C690" s="23"/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</row>
    <row r="691" spans="1:20">
      <c r="A691" s="23"/>
      <c r="B691" s="23"/>
      <c r="C691" s="23"/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</row>
    <row r="692" spans="1:20">
      <c r="A692" s="23"/>
      <c r="B692" s="23"/>
      <c r="C692" s="23"/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</row>
    <row r="693" spans="1:20">
      <c r="A693" s="23"/>
      <c r="B693" s="23"/>
      <c r="C693" s="23"/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</row>
    <row r="694" spans="1:20">
      <c r="A694" s="23"/>
      <c r="B694" s="23"/>
      <c r="C694" s="23"/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</row>
    <row r="695" spans="1:20">
      <c r="A695" s="23"/>
      <c r="B695" s="23"/>
      <c r="C695" s="23"/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</row>
    <row r="696" spans="1:20">
      <c r="A696" s="23"/>
      <c r="B696" s="23"/>
      <c r="C696" s="23"/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</row>
    <row r="697" spans="1:20">
      <c r="A697" s="23"/>
      <c r="B697" s="23"/>
      <c r="C697" s="23"/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</row>
    <row r="698" spans="1:20">
      <c r="A698" s="23"/>
      <c r="B698" s="23"/>
      <c r="C698" s="23"/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</row>
    <row r="699" spans="1:20">
      <c r="A699" s="23"/>
      <c r="B699" s="23"/>
      <c r="C699" s="23"/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</row>
    <row r="700" spans="1:20">
      <c r="A700" s="23"/>
      <c r="B700" s="23"/>
      <c r="C700" s="23"/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</row>
    <row r="701" spans="1:20">
      <c r="A701" s="23"/>
      <c r="B701" s="23"/>
      <c r="C701" s="23"/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</row>
    <row r="702" spans="1:20">
      <c r="A702" s="23"/>
      <c r="B702" s="23"/>
      <c r="C702" s="23"/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</row>
    <row r="703" spans="1:20">
      <c r="A703" s="23"/>
      <c r="B703" s="23"/>
      <c r="C703" s="23"/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</row>
    <row r="704" spans="1:20">
      <c r="A704" s="23"/>
      <c r="B704" s="23"/>
      <c r="C704" s="23"/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</row>
    <row r="705" spans="1:20">
      <c r="A705" s="23"/>
      <c r="B705" s="23"/>
      <c r="C705" s="23"/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</row>
    <row r="706" spans="1:20">
      <c r="A706" s="23"/>
      <c r="B706" s="23"/>
      <c r="C706" s="23"/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</row>
    <row r="707" spans="1:20">
      <c r="A707" s="23"/>
      <c r="B707" s="23"/>
      <c r="C707" s="23"/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</row>
    <row r="708" spans="1:20">
      <c r="A708" s="23"/>
      <c r="B708" s="23"/>
      <c r="C708" s="23"/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</row>
    <row r="709" spans="1:20">
      <c r="A709" s="23"/>
      <c r="B709" s="23"/>
      <c r="C709" s="23"/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</row>
    <row r="710" spans="1:20">
      <c r="A710" s="23"/>
      <c r="B710" s="23"/>
      <c r="C710" s="23"/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</row>
    <row r="711" spans="1:20">
      <c r="A711" s="23"/>
      <c r="B711" s="23"/>
      <c r="C711" s="23"/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</row>
    <row r="712" spans="1:20">
      <c r="A712" s="23"/>
      <c r="B712" s="23"/>
      <c r="C712" s="23"/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</row>
    <row r="713" spans="1:20">
      <c r="A713" s="23"/>
      <c r="B713" s="23"/>
      <c r="C713" s="23"/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</row>
    <row r="714" spans="1:20">
      <c r="A714" s="23"/>
      <c r="B714" s="23"/>
      <c r="C714" s="23"/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</row>
    <row r="715" spans="1:20">
      <c r="A715" s="23"/>
      <c r="B715" s="23"/>
      <c r="C715" s="23"/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</row>
    <row r="716" spans="1:20">
      <c r="A716" s="23"/>
      <c r="B716" s="23"/>
      <c r="C716" s="23"/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</row>
    <row r="717" spans="1:20">
      <c r="A717" s="23"/>
      <c r="B717" s="23"/>
      <c r="C717" s="23"/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</row>
    <row r="718" spans="1:20">
      <c r="A718" s="23"/>
      <c r="B718" s="23"/>
      <c r="C718" s="23"/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</row>
    <row r="719" spans="1:20">
      <c r="A719" s="23"/>
      <c r="B719" s="23"/>
      <c r="C719" s="23"/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</row>
    <row r="720" spans="1:20">
      <c r="A720" s="23"/>
      <c r="B720" s="23"/>
      <c r="C720" s="23"/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</row>
    <row r="721" spans="1:20">
      <c r="A721" s="23"/>
      <c r="B721" s="23"/>
      <c r="C721" s="23"/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</row>
    <row r="722" spans="1:20">
      <c r="A722" s="23"/>
      <c r="B722" s="23"/>
      <c r="C722" s="23"/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</row>
    <row r="723" spans="1:20">
      <c r="A723" s="23"/>
      <c r="B723" s="23"/>
      <c r="C723" s="23"/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</row>
    <row r="724" spans="1:20">
      <c r="A724" s="23"/>
      <c r="B724" s="23"/>
      <c r="C724" s="23"/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</row>
    <row r="725" spans="1:20">
      <c r="A725" s="23"/>
      <c r="B725" s="23"/>
      <c r="C725" s="23"/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</row>
    <row r="726" spans="1:20">
      <c r="A726" s="23"/>
      <c r="B726" s="23"/>
      <c r="C726" s="23"/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</row>
    <row r="727" spans="1:20">
      <c r="A727" s="23"/>
      <c r="B727" s="23"/>
      <c r="C727" s="23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</row>
    <row r="728" spans="1:20">
      <c r="A728" s="23"/>
      <c r="B728" s="23"/>
      <c r="C728" s="23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</row>
    <row r="729" spans="1:20">
      <c r="A729" s="23"/>
      <c r="B729" s="23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</row>
    <row r="730" spans="1:20">
      <c r="A730" s="23"/>
      <c r="B730" s="23"/>
      <c r="C730" s="23"/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</row>
    <row r="731" spans="1:20">
      <c r="A731" s="23"/>
      <c r="B731" s="23"/>
      <c r="C731" s="23"/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</row>
    <row r="732" spans="1:20">
      <c r="A732" s="23"/>
      <c r="B732" s="23"/>
      <c r="C732" s="23"/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</row>
    <row r="733" spans="1:20">
      <c r="A733" s="23"/>
      <c r="B733" s="23"/>
      <c r="C733" s="23"/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</row>
    <row r="734" spans="1:20">
      <c r="A734" s="23"/>
      <c r="B734" s="23"/>
      <c r="C734" s="23"/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</row>
    <row r="735" spans="1:20">
      <c r="A735" s="23"/>
      <c r="B735" s="23"/>
      <c r="C735" s="23"/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</row>
    <row r="736" spans="1:20">
      <c r="A736" s="23"/>
      <c r="B736" s="23"/>
      <c r="C736" s="23"/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</row>
    <row r="737" spans="1:20">
      <c r="A737" s="23"/>
      <c r="B737" s="23"/>
      <c r="C737" s="23"/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</row>
    <row r="738" spans="1:20">
      <c r="A738" s="23"/>
      <c r="B738" s="23"/>
      <c r="C738" s="23"/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</row>
    <row r="739" spans="1:20">
      <c r="A739" s="23"/>
      <c r="B739" s="23"/>
      <c r="C739" s="23"/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</row>
    <row r="740" spans="1:20">
      <c r="A740" s="23"/>
      <c r="B740" s="23"/>
      <c r="C740" s="23"/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</row>
    <row r="741" spans="1:20">
      <c r="A741" s="23"/>
      <c r="B741" s="23"/>
      <c r="C741" s="23"/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</row>
    <row r="742" spans="1:20">
      <c r="A742" s="23"/>
      <c r="B742" s="23"/>
      <c r="C742" s="23"/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</row>
    <row r="743" spans="1:20">
      <c r="A743" s="23"/>
      <c r="B743" s="23"/>
      <c r="C743" s="23"/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</row>
    <row r="744" spans="1:20">
      <c r="A744" s="23"/>
      <c r="B744" s="23"/>
      <c r="C744" s="23"/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</row>
    <row r="745" spans="1:20">
      <c r="A745" s="23"/>
      <c r="B745" s="23"/>
      <c r="C745" s="23"/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</row>
    <row r="746" spans="1:20">
      <c r="A746" s="23"/>
      <c r="B746" s="23"/>
      <c r="C746" s="23"/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</row>
    <row r="747" spans="1:20">
      <c r="A747" s="23"/>
      <c r="B747" s="23"/>
      <c r="C747" s="23"/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</row>
    <row r="748" spans="1:20">
      <c r="A748" s="23"/>
      <c r="B748" s="23"/>
      <c r="C748" s="23"/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</row>
    <row r="749" spans="1:20">
      <c r="A749" s="23"/>
      <c r="B749" s="23"/>
      <c r="C749" s="23"/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</row>
    <row r="750" spans="1:20">
      <c r="A750" s="23"/>
      <c r="B750" s="23"/>
      <c r="C750" s="23"/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</row>
    <row r="751" spans="1:20">
      <c r="A751" s="23"/>
      <c r="B751" s="23"/>
      <c r="C751" s="23"/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</row>
    <row r="752" spans="1:20">
      <c r="A752" s="23"/>
      <c r="B752" s="23"/>
      <c r="C752" s="23"/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</row>
    <row r="753" spans="1:20">
      <c r="A753" s="23"/>
      <c r="B753" s="23"/>
      <c r="C753" s="23"/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</row>
    <row r="754" spans="1:20">
      <c r="A754" s="23"/>
      <c r="B754" s="23"/>
      <c r="C754" s="23"/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</row>
    <row r="755" spans="1:20">
      <c r="A755" s="23"/>
      <c r="B755" s="23"/>
      <c r="C755" s="23"/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</row>
    <row r="756" spans="1:20">
      <c r="A756" s="23"/>
      <c r="B756" s="23"/>
      <c r="C756" s="23"/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</row>
    <row r="757" spans="1:20">
      <c r="A757" s="23"/>
      <c r="B757" s="23"/>
      <c r="C757" s="23"/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</row>
    <row r="758" spans="1:20">
      <c r="A758" s="23"/>
      <c r="B758" s="23"/>
      <c r="C758" s="23"/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</row>
    <row r="759" spans="1:20">
      <c r="A759" s="23"/>
      <c r="B759" s="23"/>
      <c r="C759" s="23"/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</row>
    <row r="760" spans="1:20">
      <c r="A760" s="23"/>
      <c r="B760" s="23"/>
      <c r="C760" s="23"/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</row>
    <row r="761" spans="1:20">
      <c r="A761" s="23"/>
      <c r="B761" s="23"/>
      <c r="C761" s="23"/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</row>
    <row r="762" spans="1:20">
      <c r="A762" s="23"/>
      <c r="B762" s="23"/>
      <c r="C762" s="23"/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</row>
    <row r="763" spans="1:20">
      <c r="A763" s="23"/>
      <c r="B763" s="23"/>
      <c r="C763" s="23"/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</row>
    <row r="764" spans="1:20">
      <c r="A764" s="23"/>
      <c r="B764" s="23"/>
      <c r="C764" s="23"/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</row>
    <row r="765" spans="1:20">
      <c r="A765" s="23"/>
      <c r="B765" s="23"/>
      <c r="C765" s="23"/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</row>
    <row r="766" spans="1:20">
      <c r="A766" s="23"/>
      <c r="B766" s="23"/>
      <c r="C766" s="23"/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</row>
    <row r="767" spans="1:20">
      <c r="A767" s="23"/>
      <c r="B767" s="23"/>
      <c r="C767" s="23"/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</row>
    <row r="768" spans="1:20">
      <c r="A768" s="23"/>
      <c r="B768" s="23"/>
      <c r="C768" s="23"/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</row>
    <row r="769" spans="1:20">
      <c r="A769" s="23"/>
      <c r="B769" s="23"/>
      <c r="C769" s="23"/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</row>
    <row r="770" spans="1:20">
      <c r="A770" s="23"/>
      <c r="B770" s="23"/>
      <c r="C770" s="23"/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</row>
    <row r="771" spans="1:20">
      <c r="A771" s="23"/>
      <c r="B771" s="23"/>
      <c r="C771" s="23"/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</row>
    <row r="772" spans="1:20">
      <c r="A772" s="23"/>
      <c r="B772" s="23"/>
      <c r="C772" s="23"/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</row>
    <row r="773" spans="1:20">
      <c r="A773" s="23"/>
      <c r="B773" s="23"/>
      <c r="C773" s="23"/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</row>
    <row r="774" spans="1:20">
      <c r="A774" s="23"/>
      <c r="B774" s="23"/>
      <c r="C774" s="23"/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</row>
    <row r="775" spans="1:20">
      <c r="A775" s="23"/>
      <c r="B775" s="23"/>
      <c r="C775" s="23"/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</row>
    <row r="776" spans="1:20">
      <c r="A776" s="23"/>
      <c r="B776" s="23"/>
      <c r="C776" s="23"/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</row>
    <row r="777" spans="1:20">
      <c r="A777" s="23"/>
      <c r="B777" s="23"/>
      <c r="C777" s="23"/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</row>
    <row r="778" spans="1:20">
      <c r="A778" s="23"/>
      <c r="B778" s="23"/>
      <c r="C778" s="23"/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</row>
    <row r="779" spans="1:20">
      <c r="A779" s="23"/>
      <c r="B779" s="23"/>
      <c r="C779" s="23"/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</row>
    <row r="780" spans="1:20">
      <c r="A780" s="23"/>
      <c r="B780" s="23"/>
      <c r="C780" s="23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</row>
    <row r="781" spans="1:20">
      <c r="A781" s="23"/>
      <c r="B781" s="23"/>
      <c r="C781" s="23"/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</row>
    <row r="782" spans="1:20">
      <c r="A782" s="23"/>
      <c r="B782" s="23"/>
      <c r="C782" s="23"/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</row>
    <row r="783" spans="1:20">
      <c r="A783" s="23"/>
      <c r="B783" s="23"/>
      <c r="C783" s="23"/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</row>
    <row r="784" spans="1:20">
      <c r="A784" s="23"/>
      <c r="B784" s="23"/>
      <c r="C784" s="23"/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</row>
    <row r="785" spans="1:20">
      <c r="A785" s="23"/>
      <c r="B785" s="23"/>
      <c r="C785" s="23"/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</row>
    <row r="786" spans="1:20">
      <c r="A786" s="23"/>
      <c r="B786" s="23"/>
      <c r="C786" s="23"/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</row>
    <row r="787" spans="1:20">
      <c r="A787" s="23"/>
      <c r="B787" s="23"/>
      <c r="C787" s="23"/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</row>
    <row r="788" spans="1:20">
      <c r="A788" s="23"/>
      <c r="B788" s="23"/>
      <c r="C788" s="23"/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</row>
    <row r="789" spans="1:20">
      <c r="A789" s="23"/>
      <c r="B789" s="23"/>
      <c r="C789" s="23"/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</row>
    <row r="790" spans="1:20">
      <c r="A790" s="23"/>
      <c r="B790" s="23"/>
      <c r="C790" s="23"/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</row>
    <row r="791" spans="1:20">
      <c r="A791" s="23"/>
      <c r="B791" s="23"/>
      <c r="C791" s="23"/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</row>
    <row r="792" spans="1:20">
      <c r="A792" s="23"/>
      <c r="B792" s="23"/>
      <c r="C792" s="23"/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</row>
    <row r="793" spans="1:20">
      <c r="A793" s="23"/>
      <c r="B793" s="23"/>
      <c r="C793" s="23"/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</row>
    <row r="794" spans="1:20">
      <c r="A794" s="23"/>
      <c r="B794" s="23"/>
      <c r="C794" s="23"/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</row>
    <row r="795" spans="1:20">
      <c r="A795" s="23"/>
      <c r="B795" s="23"/>
      <c r="C795" s="23"/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</row>
    <row r="796" spans="1:20">
      <c r="A796" s="23"/>
      <c r="B796" s="23"/>
      <c r="C796" s="23"/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</row>
    <row r="797" spans="1:20">
      <c r="A797" s="23"/>
      <c r="B797" s="23"/>
      <c r="C797" s="23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</row>
    <row r="798" spans="1:20">
      <c r="A798" s="23"/>
      <c r="B798" s="23"/>
      <c r="C798" s="23"/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</row>
    <row r="799" spans="1:20">
      <c r="A799" s="23"/>
      <c r="B799" s="23"/>
      <c r="C799" s="23"/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</row>
    <row r="800" spans="1:20">
      <c r="A800" s="23"/>
      <c r="B800" s="23"/>
      <c r="C800" s="23"/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</row>
    <row r="801" spans="1:20">
      <c r="A801" s="23"/>
      <c r="B801" s="23"/>
      <c r="C801" s="23"/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</row>
    <row r="802" spans="1:20">
      <c r="A802" s="23"/>
      <c r="B802" s="23"/>
      <c r="C802" s="23"/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</row>
    <row r="803" spans="1:20">
      <c r="A803" s="23"/>
      <c r="B803" s="23"/>
      <c r="C803" s="23"/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</row>
    <row r="804" spans="1:20">
      <c r="A804" s="23"/>
      <c r="B804" s="23"/>
      <c r="C804" s="23"/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</row>
    <row r="805" spans="1:20">
      <c r="A805" s="23"/>
      <c r="B805" s="23"/>
      <c r="C805" s="23"/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</row>
    <row r="806" spans="1:20">
      <c r="A806" s="23"/>
      <c r="B806" s="23"/>
      <c r="C806" s="23"/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</row>
    <row r="807" spans="1:20">
      <c r="A807" s="23"/>
      <c r="B807" s="23"/>
      <c r="C807" s="23"/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</row>
    <row r="808" spans="1:20">
      <c r="A808" s="23"/>
      <c r="B808" s="23"/>
      <c r="C808" s="23"/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</row>
    <row r="809" spans="1:20">
      <c r="A809" s="23"/>
      <c r="B809" s="23"/>
      <c r="C809" s="23"/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</row>
    <row r="810" spans="1:20">
      <c r="A810" s="23"/>
      <c r="B810" s="23"/>
      <c r="C810" s="23"/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</row>
    <row r="811" spans="1:20">
      <c r="A811" s="23"/>
      <c r="B811" s="23"/>
      <c r="C811" s="23"/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</row>
    <row r="812" spans="1:20">
      <c r="A812" s="23"/>
      <c r="B812" s="23"/>
      <c r="C812" s="23"/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</row>
    <row r="813" spans="1:20">
      <c r="A813" s="23"/>
      <c r="B813" s="23"/>
      <c r="C813" s="23"/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</row>
    <row r="814" spans="1:20">
      <c r="A814" s="23"/>
      <c r="B814" s="23"/>
      <c r="C814" s="23"/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</row>
    <row r="815" spans="1:20">
      <c r="A815" s="23"/>
      <c r="B815" s="23"/>
      <c r="C815" s="23"/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</row>
    <row r="816" spans="1:20">
      <c r="A816" s="23"/>
      <c r="B816" s="23"/>
      <c r="C816" s="23"/>
      <c r="D816" s="23"/>
      <c r="E816" s="23"/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</row>
    <row r="817" spans="1:20">
      <c r="A817" s="23"/>
      <c r="B817" s="23"/>
      <c r="C817" s="23"/>
      <c r="D817" s="23"/>
      <c r="E817" s="23"/>
      <c r="F817" s="23"/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</row>
    <row r="818" spans="1:20">
      <c r="A818" s="23"/>
      <c r="B818" s="23"/>
      <c r="C818" s="23"/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</row>
    <row r="819" spans="1:20">
      <c r="A819" s="23"/>
      <c r="B819" s="23"/>
      <c r="C819" s="23"/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</row>
    <row r="820" spans="1:20">
      <c r="A820" s="23"/>
      <c r="B820" s="23"/>
      <c r="C820" s="23"/>
      <c r="D820" s="23"/>
      <c r="E820" s="23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</row>
    <row r="821" spans="1:20">
      <c r="A821" s="23"/>
      <c r="B821" s="23"/>
      <c r="C821" s="23"/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</row>
    <row r="822" spans="1:20">
      <c r="A822" s="23"/>
      <c r="B822" s="23"/>
      <c r="C822" s="23"/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</row>
    <row r="823" spans="1:20">
      <c r="A823" s="23"/>
      <c r="B823" s="23"/>
      <c r="C823" s="23"/>
      <c r="D823" s="23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</row>
    <row r="824" spans="1:20">
      <c r="A824" s="23"/>
      <c r="B824" s="23"/>
      <c r="C824" s="23"/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</row>
    <row r="825" spans="1:20">
      <c r="A825" s="23"/>
      <c r="B825" s="23"/>
      <c r="C825" s="23"/>
      <c r="D825" s="23"/>
      <c r="E825" s="23"/>
      <c r="F825" s="23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</row>
    <row r="826" spans="1:20">
      <c r="A826" s="23"/>
      <c r="B826" s="23"/>
      <c r="C826" s="23"/>
      <c r="D826" s="23"/>
      <c r="E826" s="23"/>
      <c r="F826" s="23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</row>
    <row r="827" spans="1:20">
      <c r="A827" s="23"/>
      <c r="B827" s="23"/>
      <c r="C827" s="23"/>
      <c r="D827" s="23"/>
      <c r="E827" s="23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</row>
    <row r="828" spans="1:20">
      <c r="A828" s="23"/>
      <c r="B828" s="23"/>
      <c r="C828" s="23"/>
      <c r="D828" s="23"/>
      <c r="E828" s="23"/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</row>
    <row r="829" spans="1:20">
      <c r="A829" s="23"/>
      <c r="B829" s="23"/>
      <c r="C829" s="23"/>
      <c r="D829" s="23"/>
      <c r="E829" s="23"/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</row>
    <row r="830" spans="1:20">
      <c r="A830" s="23"/>
      <c r="B830" s="23"/>
      <c r="C830" s="23"/>
      <c r="D830" s="23"/>
      <c r="E830" s="23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</row>
    <row r="831" spans="1:20">
      <c r="A831" s="23"/>
      <c r="B831" s="23"/>
      <c r="C831" s="23"/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</row>
    <row r="832" spans="1:20">
      <c r="A832" s="23"/>
      <c r="B832" s="23"/>
      <c r="C832" s="23"/>
      <c r="D832" s="23"/>
      <c r="E832" s="23"/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</row>
    <row r="833" spans="1:20">
      <c r="A833" s="23"/>
      <c r="B833" s="23"/>
      <c r="C833" s="23"/>
      <c r="D833" s="23"/>
      <c r="E833" s="23"/>
      <c r="F833" s="23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</row>
    <row r="834" spans="1:20">
      <c r="A834" s="23"/>
      <c r="B834" s="23"/>
      <c r="C834" s="23"/>
      <c r="D834" s="23"/>
      <c r="E834" s="23"/>
      <c r="F834" s="23"/>
      <c r="G834" s="23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</row>
    <row r="835" spans="1:20">
      <c r="A835" s="23"/>
      <c r="B835" s="23"/>
      <c r="C835" s="23"/>
      <c r="D835" s="23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</row>
    <row r="836" spans="1:20">
      <c r="A836" s="23"/>
      <c r="B836" s="23"/>
      <c r="C836" s="23"/>
      <c r="D836" s="23"/>
      <c r="E836" s="23"/>
      <c r="F836" s="23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</row>
    <row r="837" spans="1:20">
      <c r="A837" s="23"/>
      <c r="B837" s="23"/>
      <c r="C837" s="23"/>
      <c r="D837" s="23"/>
      <c r="E837" s="23"/>
      <c r="F837" s="23"/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</row>
    <row r="838" spans="1:20">
      <c r="A838" s="23"/>
      <c r="B838" s="23"/>
      <c r="C838" s="23"/>
      <c r="D838" s="23"/>
      <c r="E838" s="23"/>
      <c r="F838" s="23"/>
      <c r="G838" s="23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</row>
    <row r="839" spans="1:20">
      <c r="A839" s="23"/>
      <c r="B839" s="23"/>
      <c r="C839" s="23"/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</row>
    <row r="840" spans="1:20">
      <c r="A840" s="23"/>
      <c r="B840" s="23"/>
      <c r="C840" s="23"/>
      <c r="D840" s="23"/>
      <c r="E840" s="23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</row>
    <row r="841" spans="1:20">
      <c r="A841" s="23"/>
      <c r="B841" s="23"/>
      <c r="C841" s="23"/>
      <c r="D841" s="23"/>
      <c r="E841" s="23"/>
      <c r="F841" s="23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</row>
    <row r="842" spans="1:20">
      <c r="A842" s="23"/>
      <c r="B842" s="23"/>
      <c r="C842" s="23"/>
      <c r="D842" s="23"/>
      <c r="E842" s="23"/>
      <c r="F842" s="23"/>
      <c r="G842" s="23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</row>
    <row r="843" spans="1:20">
      <c r="A843" s="23"/>
      <c r="B843" s="23"/>
      <c r="C843" s="23"/>
      <c r="D843" s="23"/>
      <c r="E843" s="23"/>
      <c r="F843" s="23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</row>
    <row r="844" spans="1:20">
      <c r="A844" s="23"/>
      <c r="B844" s="23"/>
      <c r="C844" s="23"/>
      <c r="D844" s="23"/>
      <c r="E844" s="23"/>
      <c r="F844" s="23"/>
      <c r="G844" s="23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</row>
    <row r="845" spans="1:20">
      <c r="A845" s="23"/>
      <c r="B845" s="23"/>
      <c r="C845" s="23"/>
      <c r="D845" s="23"/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</row>
    <row r="846" spans="1:20">
      <c r="A846" s="23"/>
      <c r="B846" s="23"/>
      <c r="C846" s="23"/>
      <c r="D846" s="23"/>
      <c r="E846" s="23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</row>
    <row r="847" spans="1:20">
      <c r="A847" s="23"/>
      <c r="B847" s="23"/>
      <c r="C847" s="23"/>
      <c r="D847" s="23"/>
      <c r="E847" s="23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</row>
    <row r="848" spans="1:20">
      <c r="A848" s="23"/>
      <c r="B848" s="23"/>
      <c r="C848" s="23"/>
      <c r="D848" s="23"/>
      <c r="E848" s="23"/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</row>
    <row r="849" spans="1:20">
      <c r="A849" s="23"/>
      <c r="B849" s="23"/>
      <c r="C849" s="23"/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</row>
    <row r="850" spans="1:20">
      <c r="A850" s="23"/>
      <c r="B850" s="23"/>
      <c r="C850" s="23"/>
      <c r="D850" s="23"/>
      <c r="E850" s="23"/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</row>
    <row r="851" spans="1:20">
      <c r="A851" s="23"/>
      <c r="B851" s="23"/>
      <c r="C851" s="23"/>
      <c r="D851" s="23"/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</row>
    <row r="852" spans="1:20">
      <c r="A852" s="23"/>
      <c r="B852" s="23"/>
      <c r="C852" s="23"/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</row>
    <row r="853" spans="1:20">
      <c r="A853" s="23"/>
      <c r="B853" s="23"/>
      <c r="C853" s="23"/>
      <c r="D853" s="23"/>
      <c r="E853" s="23"/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</row>
    <row r="854" spans="1:20">
      <c r="A854" s="23"/>
      <c r="B854" s="23"/>
      <c r="C854" s="23"/>
      <c r="D854" s="23"/>
      <c r="E854" s="23"/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</row>
    <row r="855" spans="1:20">
      <c r="A855" s="23"/>
      <c r="B855" s="23"/>
      <c r="C855" s="23"/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</row>
    <row r="856" spans="1:20">
      <c r="A856" s="23"/>
      <c r="B856" s="23"/>
      <c r="C856" s="23"/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</row>
    <row r="857" spans="1:20">
      <c r="A857" s="23"/>
      <c r="B857" s="23"/>
      <c r="C857" s="23"/>
      <c r="D857" s="23"/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</row>
    <row r="858" spans="1:20">
      <c r="A858" s="23"/>
      <c r="B858" s="23"/>
      <c r="C858" s="23"/>
      <c r="D858" s="23"/>
      <c r="E858" s="23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</row>
    <row r="859" spans="1:20">
      <c r="A859" s="23"/>
      <c r="B859" s="23"/>
      <c r="C859" s="23"/>
      <c r="D859" s="23"/>
      <c r="E859" s="23"/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</row>
    <row r="860" spans="1:20">
      <c r="A860" s="23"/>
      <c r="B860" s="23"/>
      <c r="C860" s="23"/>
      <c r="D860" s="23"/>
      <c r="E860" s="23"/>
      <c r="F860" s="23"/>
      <c r="G860" s="23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</row>
    <row r="861" spans="1:20">
      <c r="A861" s="23"/>
      <c r="B861" s="23"/>
      <c r="C861" s="23"/>
      <c r="D861" s="23"/>
      <c r="E861" s="23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</row>
    <row r="862" spans="1:20">
      <c r="A862" s="23"/>
      <c r="B862" s="23"/>
      <c r="C862" s="23"/>
      <c r="D862" s="23"/>
      <c r="E862" s="23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</row>
    <row r="863" spans="1:20">
      <c r="A863" s="23"/>
      <c r="B863" s="23"/>
      <c r="C863" s="23"/>
      <c r="D863" s="23"/>
      <c r="E863" s="23"/>
      <c r="F863" s="23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</row>
    <row r="864" spans="1:20">
      <c r="A864" s="23"/>
      <c r="B864" s="23"/>
      <c r="C864" s="23"/>
      <c r="D864" s="23"/>
      <c r="E864" s="23"/>
      <c r="F864" s="23"/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</row>
    <row r="865" spans="1:20">
      <c r="A865" s="23"/>
      <c r="B865" s="23"/>
      <c r="C865" s="23"/>
      <c r="D865" s="23"/>
      <c r="E865" s="23"/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</row>
    <row r="866" spans="1:20">
      <c r="A866" s="23"/>
      <c r="B866" s="23"/>
      <c r="C866" s="23"/>
      <c r="D866" s="23"/>
      <c r="E866" s="23"/>
      <c r="F866" s="23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</row>
    <row r="867" spans="1:20">
      <c r="A867" s="23"/>
      <c r="B867" s="23"/>
      <c r="C867" s="23"/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</row>
    <row r="868" spans="1:20">
      <c r="A868" s="23"/>
      <c r="B868" s="23"/>
      <c r="C868" s="23"/>
      <c r="D868" s="23"/>
      <c r="E868" s="23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</row>
    <row r="869" spans="1:20">
      <c r="A869" s="23"/>
      <c r="B869" s="23"/>
      <c r="C869" s="23"/>
      <c r="D869" s="23"/>
      <c r="E869" s="23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</row>
    <row r="870" spans="1:20">
      <c r="A870" s="23"/>
      <c r="B870" s="23"/>
      <c r="C870" s="23"/>
      <c r="D870" s="23"/>
      <c r="E870" s="23"/>
      <c r="F870" s="23"/>
      <c r="G870" s="23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</row>
    <row r="871" spans="1:20">
      <c r="A871" s="23"/>
      <c r="B871" s="23"/>
      <c r="C871" s="23"/>
      <c r="D871" s="23"/>
      <c r="E871" s="23"/>
      <c r="F871" s="23"/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</row>
    <row r="872" spans="1:20">
      <c r="A872" s="23"/>
      <c r="B872" s="23"/>
      <c r="C872" s="23"/>
      <c r="D872" s="23"/>
      <c r="E872" s="23"/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</row>
    <row r="873" spans="1:20">
      <c r="A873" s="23"/>
      <c r="B873" s="23"/>
      <c r="C873" s="23"/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</row>
    <row r="874" spans="1:20">
      <c r="A874" s="23"/>
      <c r="B874" s="23"/>
      <c r="C874" s="23"/>
      <c r="D874" s="23"/>
      <c r="E874" s="23"/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</row>
    <row r="875" spans="1:20">
      <c r="A875" s="23"/>
      <c r="B875" s="23"/>
      <c r="C875" s="23"/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</row>
    <row r="876" spans="1:20">
      <c r="A876" s="23"/>
      <c r="B876" s="23"/>
      <c r="C876" s="23"/>
      <c r="D876" s="23"/>
      <c r="E876" s="23"/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</row>
    <row r="877" spans="1:20">
      <c r="A877" s="23"/>
      <c r="B877" s="23"/>
      <c r="C877" s="23"/>
      <c r="D877" s="23"/>
      <c r="E877" s="23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</row>
    <row r="878" spans="1:20">
      <c r="A878" s="23"/>
      <c r="B878" s="23"/>
      <c r="C878" s="23"/>
      <c r="D878" s="23"/>
      <c r="E878" s="23"/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</row>
    <row r="879" spans="1:20">
      <c r="A879" s="23"/>
      <c r="B879" s="23"/>
      <c r="C879" s="23"/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</row>
    <row r="880" spans="1:20">
      <c r="A880" s="23"/>
      <c r="B880" s="23"/>
      <c r="C880" s="23"/>
      <c r="D880" s="23"/>
      <c r="E880" s="23"/>
      <c r="F880" s="23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</row>
    <row r="881" spans="1:20">
      <c r="A881" s="23"/>
      <c r="B881" s="23"/>
      <c r="C881" s="23"/>
      <c r="D881" s="23"/>
      <c r="E881" s="23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</row>
    <row r="882" spans="1:20">
      <c r="A882" s="23"/>
      <c r="B882" s="23"/>
      <c r="C882" s="23"/>
      <c r="D882" s="23"/>
      <c r="E882" s="23"/>
      <c r="F882" s="23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</row>
    <row r="883" spans="1:20">
      <c r="A883" s="23"/>
      <c r="B883" s="23"/>
      <c r="C883" s="23"/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</row>
    <row r="884" spans="1:20">
      <c r="A884" s="23"/>
      <c r="B884" s="23"/>
      <c r="C884" s="23"/>
      <c r="D884" s="23"/>
      <c r="E884" s="23"/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</row>
    <row r="885" spans="1:20">
      <c r="A885" s="23"/>
      <c r="B885" s="23"/>
      <c r="C885" s="23"/>
      <c r="D885" s="23"/>
      <c r="E885" s="23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</row>
    <row r="886" spans="1:20">
      <c r="A886" s="23"/>
      <c r="B886" s="23"/>
      <c r="C886" s="23"/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</row>
    <row r="887" spans="1:20">
      <c r="A887" s="23"/>
      <c r="B887" s="23"/>
      <c r="C887" s="23"/>
      <c r="D887" s="23"/>
      <c r="E887" s="23"/>
      <c r="F887" s="23"/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</row>
    <row r="888" spans="1:20">
      <c r="A888" s="23"/>
      <c r="B888" s="23"/>
      <c r="C888" s="23"/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</row>
    <row r="889" spans="1:20">
      <c r="A889" s="23"/>
      <c r="B889" s="23"/>
      <c r="C889" s="23"/>
      <c r="D889" s="23"/>
      <c r="E889" s="23"/>
      <c r="F889" s="23"/>
      <c r="G889" s="23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</row>
    <row r="890" spans="1:20">
      <c r="A890" s="23"/>
      <c r="B890" s="23"/>
      <c r="C890" s="23"/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</row>
    <row r="891" spans="1:20">
      <c r="A891" s="23"/>
      <c r="B891" s="23"/>
      <c r="C891" s="23"/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</row>
    <row r="892" spans="1:20">
      <c r="A892" s="23"/>
      <c r="B892" s="23"/>
      <c r="C892" s="23"/>
      <c r="D892" s="23"/>
      <c r="E892" s="23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</row>
    <row r="893" spans="1:20">
      <c r="A893" s="23"/>
      <c r="B893" s="23"/>
      <c r="C893" s="23"/>
      <c r="D893" s="23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</row>
    <row r="894" spans="1:20">
      <c r="A894" s="23"/>
      <c r="B894" s="23"/>
      <c r="C894" s="23"/>
      <c r="D894" s="23"/>
      <c r="E894" s="23"/>
      <c r="F894" s="23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</row>
    <row r="895" spans="1:20">
      <c r="A895" s="23"/>
      <c r="B895" s="23"/>
      <c r="C895" s="23"/>
      <c r="D895" s="23"/>
      <c r="E895" s="23"/>
      <c r="F895" s="23"/>
      <c r="G895" s="23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</row>
    <row r="896" spans="1:20">
      <c r="A896" s="23"/>
      <c r="B896" s="23"/>
      <c r="C896" s="23"/>
      <c r="D896" s="23"/>
      <c r="E896" s="23"/>
      <c r="F896" s="23"/>
      <c r="G896" s="23"/>
      <c r="H896" s="23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</row>
    <row r="897" spans="1:20">
      <c r="A897" s="23"/>
      <c r="B897" s="23"/>
      <c r="C897" s="23"/>
      <c r="D897" s="23"/>
      <c r="E897" s="23"/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</row>
    <row r="898" spans="1:20">
      <c r="A898" s="23"/>
      <c r="B898" s="23"/>
      <c r="C898" s="23"/>
      <c r="D898" s="23"/>
      <c r="E898" s="23"/>
      <c r="F898" s="23"/>
      <c r="G898" s="23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</row>
    <row r="899" spans="1:20">
      <c r="A899" s="23"/>
      <c r="B899" s="23"/>
      <c r="C899" s="23"/>
      <c r="D899" s="23"/>
      <c r="E899" s="23"/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</row>
    <row r="900" spans="1:20">
      <c r="A900" s="23"/>
      <c r="B900" s="23"/>
      <c r="C900" s="23"/>
      <c r="D900" s="23"/>
      <c r="E900" s="23"/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</row>
    <row r="901" spans="1:20">
      <c r="A901" s="23"/>
      <c r="B901" s="23"/>
      <c r="C901" s="23"/>
      <c r="D901" s="23"/>
      <c r="E901" s="23"/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</row>
    <row r="902" spans="1:20">
      <c r="A902" s="23"/>
      <c r="B902" s="23"/>
      <c r="C902" s="23"/>
      <c r="D902" s="23"/>
      <c r="E902" s="23"/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</row>
    <row r="903" spans="1:20">
      <c r="A903" s="23"/>
      <c r="B903" s="23"/>
      <c r="C903" s="23"/>
      <c r="D903" s="23"/>
      <c r="E903" s="23"/>
      <c r="F903" s="23"/>
      <c r="G903" s="23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</row>
    <row r="904" spans="1:20">
      <c r="A904" s="23"/>
      <c r="B904" s="23"/>
      <c r="C904" s="23"/>
      <c r="D904" s="23"/>
      <c r="E904" s="23"/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</row>
    <row r="905" spans="1:20">
      <c r="A905" s="23"/>
      <c r="B905" s="23"/>
      <c r="C905" s="23"/>
      <c r="D905" s="23"/>
      <c r="E905" s="23"/>
      <c r="F905" s="23"/>
      <c r="G905" s="23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</row>
    <row r="906" spans="1:20">
      <c r="A906" s="23"/>
      <c r="B906" s="23"/>
      <c r="C906" s="23"/>
      <c r="D906" s="23"/>
      <c r="E906" s="23"/>
      <c r="F906" s="23"/>
      <c r="G906" s="23"/>
      <c r="H906" s="23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</row>
    <row r="907" spans="1:20">
      <c r="A907" s="23"/>
      <c r="B907" s="23"/>
      <c r="C907" s="23"/>
      <c r="D907" s="23"/>
      <c r="E907" s="23"/>
      <c r="F907" s="23"/>
      <c r="G907" s="23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</row>
    <row r="908" spans="1:20">
      <c r="A908" s="23"/>
      <c r="B908" s="23"/>
      <c r="C908" s="23"/>
      <c r="D908" s="23"/>
      <c r="E908" s="23"/>
      <c r="F908" s="23"/>
      <c r="G908" s="23"/>
      <c r="H908" s="23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</row>
    <row r="909" spans="1:20">
      <c r="A909" s="23"/>
      <c r="B909" s="23"/>
      <c r="C909" s="23"/>
      <c r="D909" s="23"/>
      <c r="E909" s="23"/>
      <c r="F909" s="23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</row>
    <row r="910" spans="1:20">
      <c r="A910" s="23"/>
      <c r="B910" s="23"/>
      <c r="C910" s="23"/>
      <c r="D910" s="23"/>
      <c r="E910" s="23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</row>
    <row r="911" spans="1:20">
      <c r="A911" s="23"/>
      <c r="B911" s="23"/>
      <c r="C911" s="23"/>
      <c r="D911" s="23"/>
      <c r="E911" s="23"/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</row>
    <row r="912" spans="1:20">
      <c r="A912" s="23"/>
      <c r="B912" s="23"/>
      <c r="C912" s="23"/>
      <c r="D912" s="23"/>
      <c r="E912" s="23"/>
      <c r="F912" s="23"/>
      <c r="G912" s="23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</row>
    <row r="913" spans="1:20">
      <c r="A913" s="23"/>
      <c r="B913" s="23"/>
      <c r="C913" s="23"/>
      <c r="D913" s="23"/>
      <c r="E913" s="23"/>
      <c r="F913" s="23"/>
      <c r="G913" s="23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</row>
    <row r="914" spans="1:20">
      <c r="A914" s="23"/>
      <c r="B914" s="23"/>
      <c r="C914" s="23"/>
      <c r="D914" s="23"/>
      <c r="E914" s="23"/>
      <c r="F914" s="23"/>
      <c r="G914" s="23"/>
      <c r="H914" s="23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</row>
    <row r="915" spans="1:20">
      <c r="A915" s="23"/>
      <c r="B915" s="23"/>
      <c r="C915" s="23"/>
      <c r="D915" s="23"/>
      <c r="E915" s="23"/>
      <c r="F915" s="23"/>
      <c r="G915" s="23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</row>
    <row r="916" spans="1:20">
      <c r="A916" s="23"/>
      <c r="B916" s="23"/>
      <c r="C916" s="23"/>
      <c r="D916" s="23"/>
      <c r="E916" s="23"/>
      <c r="F916" s="23"/>
      <c r="G916" s="23"/>
      <c r="H916" s="23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</row>
    <row r="917" spans="1:20">
      <c r="A917" s="23"/>
      <c r="B917" s="23"/>
      <c r="C917" s="23"/>
      <c r="D917" s="23"/>
      <c r="E917" s="23"/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</row>
    <row r="918" spans="1:20">
      <c r="A918" s="23"/>
      <c r="B918" s="23"/>
      <c r="C918" s="23"/>
      <c r="D918" s="23"/>
      <c r="E918" s="23"/>
      <c r="F918" s="23"/>
      <c r="G918" s="23"/>
      <c r="H918" s="23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</row>
    <row r="919" spans="1:20">
      <c r="A919" s="23"/>
      <c r="B919" s="23"/>
      <c r="C919" s="23"/>
      <c r="D919" s="23"/>
      <c r="E919" s="23"/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</row>
    <row r="920" spans="1:20">
      <c r="A920" s="23"/>
      <c r="B920" s="23"/>
      <c r="C920" s="23"/>
      <c r="D920" s="23"/>
      <c r="E920" s="23"/>
      <c r="F920" s="23"/>
      <c r="G920" s="23"/>
      <c r="H920" s="23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</row>
    <row r="921" spans="1:20">
      <c r="A921" s="23"/>
      <c r="B921" s="23"/>
      <c r="C921" s="23"/>
      <c r="D921" s="23"/>
      <c r="E921" s="23"/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</row>
    <row r="922" spans="1:20">
      <c r="A922" s="23"/>
      <c r="B922" s="23"/>
      <c r="C922" s="23"/>
      <c r="D922" s="23"/>
      <c r="E922" s="23"/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</row>
    <row r="923" spans="1:20">
      <c r="A923" s="23"/>
      <c r="B923" s="23"/>
      <c r="C923" s="23"/>
      <c r="D923" s="23"/>
      <c r="E923" s="23"/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</row>
    <row r="924" spans="1:20">
      <c r="A924" s="23"/>
      <c r="B924" s="23"/>
      <c r="C924" s="23"/>
      <c r="D924" s="23"/>
      <c r="E924" s="23"/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</row>
    <row r="925" spans="1:20">
      <c r="A925" s="23"/>
      <c r="B925" s="23"/>
      <c r="C925" s="23"/>
      <c r="D925" s="23"/>
      <c r="E925" s="23"/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</row>
    <row r="926" spans="1:20">
      <c r="A926" s="23"/>
      <c r="B926" s="23"/>
      <c r="C926" s="23"/>
      <c r="D926" s="23"/>
      <c r="E926" s="23"/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</row>
    <row r="927" spans="1:20">
      <c r="A927" s="23"/>
      <c r="B927" s="23"/>
      <c r="C927" s="23"/>
      <c r="D927" s="23"/>
      <c r="E927" s="23"/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</row>
    <row r="928" spans="1:20">
      <c r="A928" s="23"/>
      <c r="B928" s="23"/>
      <c r="C928" s="23"/>
      <c r="D928" s="23"/>
      <c r="E928" s="23"/>
      <c r="F928" s="23"/>
      <c r="G928" s="23"/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</row>
    <row r="929" spans="1:20">
      <c r="A929" s="23"/>
      <c r="B929" s="23"/>
      <c r="C929" s="23"/>
      <c r="D929" s="23"/>
      <c r="E929" s="23"/>
      <c r="F929" s="23"/>
      <c r="G929" s="23"/>
      <c r="H929" s="23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</row>
    <row r="930" spans="1:20">
      <c r="A930" s="23"/>
      <c r="B930" s="23"/>
      <c r="C930" s="23"/>
      <c r="D930" s="23"/>
      <c r="E930" s="23"/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</row>
    <row r="931" spans="1:20">
      <c r="A931" s="23"/>
      <c r="B931" s="23"/>
      <c r="C931" s="23"/>
      <c r="D931" s="23"/>
      <c r="E931" s="23"/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</row>
    <row r="932" spans="1:20">
      <c r="A932" s="23"/>
      <c r="B932" s="23"/>
      <c r="C932" s="23"/>
      <c r="D932" s="23"/>
      <c r="E932" s="23"/>
      <c r="F932" s="23"/>
      <c r="G932" s="23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</row>
    <row r="933" spans="1:20">
      <c r="A933" s="23"/>
      <c r="B933" s="23"/>
      <c r="C933" s="23"/>
      <c r="D933" s="23"/>
      <c r="E933" s="23"/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</row>
    <row r="934" spans="1:20">
      <c r="A934" s="23"/>
      <c r="B934" s="23"/>
      <c r="C934" s="23"/>
      <c r="D934" s="23"/>
      <c r="E934" s="23"/>
      <c r="F934" s="23"/>
      <c r="G934" s="23"/>
      <c r="H934" s="23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</row>
    <row r="935" spans="1:20">
      <c r="A935" s="23"/>
      <c r="B935" s="23"/>
      <c r="C935" s="23"/>
      <c r="D935" s="23"/>
      <c r="E935" s="23"/>
      <c r="F935" s="23"/>
      <c r="G935" s="23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</row>
    <row r="936" spans="1:20">
      <c r="A936" s="23"/>
      <c r="B936" s="23"/>
      <c r="C936" s="23"/>
      <c r="D936" s="23"/>
      <c r="E936" s="23"/>
      <c r="F936" s="23"/>
      <c r="G936" s="23"/>
      <c r="H936" s="23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</row>
    <row r="937" spans="1:20">
      <c r="A937" s="23"/>
      <c r="B937" s="23"/>
      <c r="C937" s="23"/>
      <c r="D937" s="23"/>
      <c r="E937" s="23"/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</row>
    <row r="938" spans="1:20">
      <c r="A938" s="23"/>
      <c r="B938" s="23"/>
      <c r="C938" s="23"/>
      <c r="D938" s="23"/>
      <c r="E938" s="23"/>
      <c r="F938" s="23"/>
      <c r="G938" s="23"/>
      <c r="H938" s="23"/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</row>
    <row r="939" spans="1:20">
      <c r="A939" s="23"/>
      <c r="B939" s="23"/>
      <c r="C939" s="23"/>
      <c r="D939" s="23"/>
      <c r="E939" s="23"/>
      <c r="F939" s="23"/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</row>
    <row r="940" spans="1:20">
      <c r="A940" s="23"/>
      <c r="B940" s="23"/>
      <c r="C940" s="23"/>
      <c r="D940" s="23"/>
      <c r="E940" s="23"/>
      <c r="F940" s="23"/>
      <c r="G940" s="23"/>
      <c r="H940" s="23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</row>
    <row r="941" spans="1:20">
      <c r="A941" s="23"/>
      <c r="B941" s="23"/>
      <c r="C941" s="23"/>
      <c r="D941" s="23"/>
      <c r="E941" s="23"/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</row>
    <row r="942" spans="1:20">
      <c r="A942" s="23"/>
      <c r="B942" s="23"/>
      <c r="C942" s="23"/>
      <c r="D942" s="23"/>
      <c r="E942" s="23"/>
      <c r="F942" s="23"/>
      <c r="G942" s="23"/>
      <c r="H942" s="23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</row>
    <row r="943" spans="1:20">
      <c r="A943" s="23"/>
      <c r="B943" s="23"/>
      <c r="C943" s="23"/>
      <c r="D943" s="23"/>
      <c r="E943" s="23"/>
      <c r="F943" s="23"/>
      <c r="G943" s="23"/>
      <c r="H943" s="23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</row>
    <row r="944" spans="1:20">
      <c r="A944" s="23"/>
      <c r="B944" s="23"/>
      <c r="C944" s="23"/>
      <c r="D944" s="23"/>
      <c r="E944" s="23"/>
      <c r="F944" s="23"/>
      <c r="G944" s="23"/>
      <c r="H944" s="23"/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</row>
    <row r="945" spans="1:20">
      <c r="A945" s="23"/>
      <c r="B945" s="23"/>
      <c r="C945" s="23"/>
      <c r="D945" s="23"/>
      <c r="E945" s="23"/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</row>
    <row r="946" spans="1:20">
      <c r="A946" s="23"/>
      <c r="B946" s="23"/>
      <c r="C946" s="23"/>
      <c r="D946" s="23"/>
      <c r="E946" s="23"/>
      <c r="F946" s="23"/>
      <c r="G946" s="23"/>
      <c r="H946" s="23"/>
      <c r="I946" s="23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</row>
    <row r="947" spans="1:20">
      <c r="A947" s="23"/>
      <c r="B947" s="23"/>
      <c r="C947" s="23"/>
      <c r="D947" s="23"/>
      <c r="E947" s="23"/>
      <c r="F947" s="23"/>
      <c r="G947" s="23"/>
      <c r="H947" s="23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</row>
    <row r="948" spans="1:20">
      <c r="A948" s="23"/>
      <c r="B948" s="23"/>
      <c r="C948" s="23"/>
      <c r="D948" s="23"/>
      <c r="E948" s="23"/>
      <c r="F948" s="23"/>
      <c r="G948" s="23"/>
      <c r="H948" s="23"/>
      <c r="I948" s="23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</row>
    <row r="949" spans="1:20">
      <c r="A949" s="23"/>
      <c r="B949" s="23"/>
      <c r="C949" s="23"/>
      <c r="D949" s="23"/>
      <c r="E949" s="23"/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</row>
    <row r="950" spans="1:20">
      <c r="A950" s="23"/>
      <c r="B950" s="23"/>
      <c r="C950" s="23"/>
      <c r="D950" s="23"/>
      <c r="E950" s="23"/>
      <c r="F950" s="23"/>
      <c r="G950" s="23"/>
      <c r="H950" s="23"/>
      <c r="I950" s="23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</row>
    <row r="951" spans="1:20">
      <c r="A951" s="23"/>
      <c r="B951" s="23"/>
      <c r="C951" s="23"/>
      <c r="D951" s="23"/>
      <c r="E951" s="23"/>
      <c r="F951" s="23"/>
      <c r="G951" s="23"/>
      <c r="H951" s="23"/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</row>
    <row r="952" spans="1:20">
      <c r="A952" s="23"/>
      <c r="B952" s="23"/>
      <c r="C952" s="23"/>
      <c r="D952" s="23"/>
      <c r="E952" s="23"/>
      <c r="F952" s="23"/>
      <c r="G952" s="23"/>
      <c r="H952" s="23"/>
      <c r="I952" s="23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</row>
    <row r="953" spans="1:20">
      <c r="A953" s="23"/>
      <c r="B953" s="23"/>
      <c r="C953" s="23"/>
      <c r="D953" s="23"/>
      <c r="E953" s="23"/>
      <c r="F953" s="23"/>
      <c r="G953" s="23"/>
      <c r="H953" s="23"/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</row>
    <row r="954" spans="1:20">
      <c r="A954" s="23"/>
      <c r="B954" s="23"/>
      <c r="C954" s="23"/>
      <c r="D954" s="23"/>
      <c r="E954" s="23"/>
      <c r="F954" s="23"/>
      <c r="G954" s="23"/>
      <c r="H954" s="23"/>
      <c r="I954" s="23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</row>
    <row r="955" spans="1:20">
      <c r="A955" s="23"/>
      <c r="B955" s="23"/>
      <c r="C955" s="23"/>
      <c r="D955" s="23"/>
      <c r="E955" s="23"/>
      <c r="F955" s="23"/>
      <c r="G955" s="23"/>
      <c r="H955" s="23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</row>
    <row r="956" spans="1:20">
      <c r="A956" s="23"/>
      <c r="B956" s="23"/>
      <c r="C956" s="23"/>
      <c r="D956" s="23"/>
      <c r="E956" s="23"/>
      <c r="F956" s="23"/>
      <c r="G956" s="23"/>
      <c r="H956" s="23"/>
      <c r="I956" s="23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</row>
    <row r="957" spans="1:20">
      <c r="A957" s="23"/>
      <c r="B957" s="23"/>
      <c r="C957" s="23"/>
      <c r="D957" s="23"/>
      <c r="E957" s="23"/>
      <c r="F957" s="23"/>
      <c r="G957" s="23"/>
      <c r="H957" s="23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</row>
    <row r="958" spans="1:20">
      <c r="A958" s="23"/>
      <c r="B958" s="23"/>
      <c r="C958" s="23"/>
      <c r="D958" s="23"/>
      <c r="E958" s="23"/>
      <c r="F958" s="23"/>
      <c r="G958" s="23"/>
      <c r="H958" s="23"/>
      <c r="I958" s="23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</row>
    <row r="959" spans="1:20">
      <c r="A959" s="23"/>
      <c r="B959" s="23"/>
      <c r="C959" s="23"/>
      <c r="D959" s="23"/>
      <c r="E959" s="23"/>
      <c r="F959" s="23"/>
      <c r="G959" s="23"/>
      <c r="H959" s="23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</row>
    <row r="960" spans="1:20">
      <c r="A960" s="23"/>
      <c r="B960" s="23"/>
      <c r="C960" s="23"/>
      <c r="D960" s="23"/>
      <c r="E960" s="23"/>
      <c r="F960" s="23"/>
      <c r="G960" s="23"/>
      <c r="H960" s="23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</row>
    <row r="961" spans="1:20">
      <c r="A961" s="23"/>
      <c r="B961" s="23"/>
      <c r="C961" s="23"/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</row>
    <row r="962" spans="1:20">
      <c r="A962" s="23"/>
      <c r="B962" s="23"/>
      <c r="C962" s="23"/>
      <c r="D962" s="23"/>
      <c r="E962" s="23"/>
      <c r="F962" s="23"/>
      <c r="G962" s="23"/>
      <c r="H962" s="23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</row>
    <row r="963" spans="1:20">
      <c r="A963" s="23"/>
      <c r="B963" s="23"/>
      <c r="C963" s="23"/>
      <c r="D963" s="23"/>
      <c r="E963" s="23"/>
      <c r="F963" s="23"/>
      <c r="G963" s="23"/>
      <c r="H963" s="23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</row>
    <row r="964" spans="1:20">
      <c r="A964" s="23"/>
      <c r="B964" s="23"/>
      <c r="C964" s="23"/>
      <c r="D964" s="23"/>
      <c r="E964" s="23"/>
      <c r="F964" s="23"/>
      <c r="G964" s="23"/>
      <c r="H964" s="23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</row>
    <row r="965" spans="1:20">
      <c r="A965" s="23"/>
      <c r="B965" s="23"/>
      <c r="C965" s="23"/>
      <c r="D965" s="23"/>
      <c r="E965" s="23"/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</row>
    <row r="966" spans="1:20">
      <c r="A966" s="23"/>
      <c r="B966" s="23"/>
      <c r="C966" s="23"/>
      <c r="D966" s="23"/>
      <c r="E966" s="23"/>
      <c r="F966" s="23"/>
      <c r="G966" s="23"/>
      <c r="H966" s="23"/>
      <c r="I966" s="23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</row>
    <row r="967" spans="1:20">
      <c r="A967" s="23"/>
      <c r="B967" s="23"/>
      <c r="C967" s="23"/>
      <c r="D967" s="23"/>
      <c r="E967" s="23"/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</row>
    <row r="968" spans="1:20">
      <c r="A968" s="23"/>
      <c r="B968" s="23"/>
      <c r="C968" s="23"/>
      <c r="D968" s="23"/>
      <c r="E968" s="23"/>
      <c r="F968" s="23"/>
      <c r="G968" s="23"/>
      <c r="H968" s="23"/>
      <c r="I968" s="23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</row>
    <row r="969" spans="1:20">
      <c r="A969" s="23"/>
      <c r="B969" s="23"/>
      <c r="C969" s="23"/>
      <c r="D969" s="23"/>
      <c r="E969" s="23"/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</row>
    <row r="970" spans="1:20">
      <c r="A970" s="23"/>
      <c r="B970" s="23"/>
      <c r="C970" s="23"/>
      <c r="D970" s="23"/>
      <c r="E970" s="23"/>
      <c r="F970" s="23"/>
      <c r="G970" s="23"/>
      <c r="H970" s="23"/>
      <c r="I970" s="23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</row>
    <row r="971" spans="1:20">
      <c r="A971" s="23"/>
      <c r="B971" s="23"/>
      <c r="C971" s="23"/>
      <c r="D971" s="23"/>
      <c r="E971" s="23"/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</row>
    <row r="972" spans="1:20">
      <c r="A972" s="23"/>
      <c r="B972" s="23"/>
      <c r="C972" s="23"/>
      <c r="D972" s="23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</row>
    <row r="973" spans="1:20">
      <c r="A973" s="23"/>
      <c r="B973" s="23"/>
      <c r="C973" s="23"/>
      <c r="D973" s="23"/>
      <c r="E973" s="23"/>
      <c r="F973" s="23"/>
      <c r="G973" s="23"/>
      <c r="H973" s="23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</row>
    <row r="974" spans="1:20">
      <c r="A974" s="23"/>
      <c r="B974" s="23"/>
      <c r="C974" s="23"/>
      <c r="D974" s="23"/>
      <c r="E974" s="23"/>
      <c r="F974" s="23"/>
      <c r="G974" s="23"/>
      <c r="H974" s="23"/>
      <c r="I974" s="23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</row>
    <row r="975" spans="1:20">
      <c r="A975" s="23"/>
      <c r="B975" s="23"/>
      <c r="C975" s="23"/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</row>
    <row r="976" spans="1:20">
      <c r="A976" s="23"/>
      <c r="B976" s="23"/>
      <c r="C976" s="23"/>
      <c r="D976" s="23"/>
      <c r="E976" s="23"/>
      <c r="F976" s="23"/>
      <c r="G976" s="23"/>
      <c r="H976" s="23"/>
      <c r="I976" s="23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</row>
    <row r="977" spans="1:20">
      <c r="A977" s="23"/>
      <c r="B977" s="23"/>
      <c r="C977" s="23"/>
      <c r="D977" s="23"/>
      <c r="E977" s="23"/>
      <c r="F977" s="23"/>
      <c r="G977" s="23"/>
      <c r="H977" s="23"/>
      <c r="I977" s="23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</row>
    <row r="978" spans="1:20">
      <c r="A978" s="23"/>
      <c r="B978" s="23"/>
      <c r="C978" s="23"/>
      <c r="D978" s="23"/>
      <c r="E978" s="23"/>
      <c r="F978" s="23"/>
      <c r="G978" s="23"/>
      <c r="H978" s="23"/>
      <c r="I978" s="23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</row>
    <row r="979" spans="1:20">
      <c r="A979" s="23"/>
      <c r="B979" s="23"/>
      <c r="C979" s="23"/>
      <c r="D979" s="23"/>
      <c r="E979" s="23"/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</row>
    <row r="980" spans="1:20">
      <c r="A980" s="23"/>
      <c r="B980" s="23"/>
      <c r="C980" s="23"/>
      <c r="D980" s="23"/>
      <c r="E980" s="23"/>
      <c r="F980" s="23"/>
      <c r="G980" s="23"/>
      <c r="H980" s="23"/>
      <c r="I980" s="23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</row>
    <row r="981" spans="1:20">
      <c r="A981" s="23"/>
      <c r="B981" s="23"/>
      <c r="C981" s="23"/>
      <c r="D981" s="23"/>
      <c r="E981" s="23"/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</row>
    <row r="982" spans="1:20">
      <c r="A982" s="23"/>
      <c r="B982" s="23"/>
      <c r="C982" s="23"/>
      <c r="D982" s="23"/>
      <c r="E982" s="23"/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</row>
    <row r="983" spans="1:20">
      <c r="A983" s="23"/>
      <c r="B983" s="23"/>
      <c r="C983" s="23"/>
      <c r="D983" s="23"/>
      <c r="E983" s="23"/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</row>
    <row r="984" spans="1:20">
      <c r="A984" s="23"/>
      <c r="B984" s="23"/>
      <c r="C984" s="23"/>
      <c r="D984" s="23"/>
      <c r="E984" s="23"/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</row>
    <row r="985" spans="1:20">
      <c r="A985" s="23"/>
      <c r="B985" s="23"/>
      <c r="C985" s="23"/>
      <c r="D985" s="23"/>
      <c r="E985" s="23"/>
      <c r="F985" s="23"/>
      <c r="G985" s="23"/>
      <c r="H985" s="23"/>
      <c r="I985" s="23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</row>
    <row r="986" spans="1:20">
      <c r="A986" s="23"/>
      <c r="B986" s="23"/>
      <c r="C986" s="23"/>
      <c r="D986" s="23"/>
      <c r="E986" s="23"/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</row>
    <row r="987" spans="1:20">
      <c r="A987" s="23"/>
      <c r="B987" s="23"/>
      <c r="C987" s="23"/>
      <c r="D987" s="23"/>
      <c r="E987" s="23"/>
      <c r="F987" s="23"/>
      <c r="G987" s="23"/>
      <c r="H987" s="23"/>
      <c r="I987" s="23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</row>
    <row r="988" spans="1:20">
      <c r="A988" s="23"/>
      <c r="B988" s="23"/>
      <c r="C988" s="23"/>
      <c r="D988" s="23"/>
      <c r="E988" s="23"/>
      <c r="F988" s="23"/>
      <c r="G988" s="23"/>
      <c r="H988" s="23"/>
      <c r="I988" s="23"/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</row>
    <row r="989" spans="1:20">
      <c r="A989" s="23"/>
      <c r="B989" s="23"/>
      <c r="C989" s="23"/>
      <c r="D989" s="23"/>
      <c r="E989" s="23"/>
      <c r="F989" s="23"/>
      <c r="G989" s="23"/>
      <c r="H989" s="23"/>
      <c r="I989" s="23"/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</row>
    <row r="990" spans="1:20">
      <c r="A990" s="23"/>
      <c r="B990" s="23"/>
      <c r="C990" s="23"/>
      <c r="D990" s="23"/>
      <c r="E990" s="23"/>
      <c r="F990" s="23"/>
      <c r="G990" s="23"/>
      <c r="H990" s="23"/>
      <c r="I990" s="23"/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</row>
    <row r="991" spans="1:20">
      <c r="A991" s="23"/>
      <c r="B991" s="23"/>
      <c r="C991" s="23"/>
      <c r="D991" s="23"/>
      <c r="E991" s="23"/>
      <c r="F991" s="23"/>
      <c r="G991" s="23"/>
      <c r="H991" s="23"/>
      <c r="I991" s="23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</row>
    <row r="992" spans="1:20">
      <c r="A992" s="23"/>
      <c r="B992" s="23"/>
      <c r="C992" s="23"/>
      <c r="D992" s="23"/>
      <c r="E992" s="23"/>
      <c r="F992" s="23"/>
      <c r="G992" s="23"/>
      <c r="H992" s="23"/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</row>
    <row r="993" spans="1:20">
      <c r="A993" s="23"/>
      <c r="B993" s="23"/>
      <c r="C993" s="23"/>
      <c r="D993" s="23"/>
      <c r="E993" s="23"/>
      <c r="F993" s="23"/>
      <c r="G993" s="23"/>
      <c r="H993" s="23"/>
      <c r="I993" s="23"/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</row>
    <row r="994" spans="1:20">
      <c r="A994" s="23"/>
      <c r="B994" s="23"/>
      <c r="C994" s="23"/>
      <c r="D994" s="23"/>
      <c r="E994" s="23"/>
      <c r="F994" s="23"/>
      <c r="G994" s="23"/>
      <c r="H994" s="23"/>
      <c r="I994" s="23"/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</row>
    <row r="995" spans="1:20">
      <c r="A995" s="23"/>
      <c r="B995" s="23"/>
      <c r="C995" s="23"/>
      <c r="D995" s="23"/>
      <c r="E995" s="23"/>
      <c r="F995" s="23"/>
      <c r="G995" s="23"/>
      <c r="H995" s="23"/>
      <c r="I995" s="23"/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</row>
    <row r="996" spans="1:20">
      <c r="A996" s="23"/>
      <c r="B996" s="23"/>
      <c r="C996" s="23"/>
      <c r="D996" s="23"/>
      <c r="E996" s="23"/>
      <c r="F996" s="23"/>
      <c r="G996" s="23"/>
      <c r="H996" s="23"/>
      <c r="I996" s="23"/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</row>
    <row r="997" spans="1:20">
      <c r="A997" s="23"/>
      <c r="B997" s="23"/>
      <c r="C997" s="23"/>
      <c r="D997" s="23"/>
      <c r="E997" s="23"/>
      <c r="F997" s="23"/>
      <c r="G997" s="23"/>
      <c r="H997" s="23"/>
      <c r="I997" s="23"/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</row>
    <row r="998" spans="1:20">
      <c r="A998" s="23"/>
      <c r="B998" s="23"/>
      <c r="C998" s="23"/>
      <c r="D998" s="23"/>
      <c r="E998" s="23"/>
      <c r="F998" s="23"/>
      <c r="G998" s="23"/>
      <c r="H998" s="23"/>
      <c r="I998" s="23"/>
      <c r="J998" s="23"/>
      <c r="K998" s="23"/>
      <c r="L998" s="23"/>
      <c r="M998" s="23"/>
      <c r="N998" s="23"/>
      <c r="O998" s="23"/>
      <c r="P998" s="23"/>
      <c r="Q998" s="23"/>
      <c r="R998" s="23"/>
      <c r="S998" s="23"/>
      <c r="T998" s="23"/>
    </row>
    <row r="999" spans="1:20">
      <c r="A999" s="23"/>
      <c r="B999" s="23"/>
      <c r="C999" s="23"/>
      <c r="D999" s="23"/>
      <c r="E999" s="23"/>
      <c r="F999" s="23"/>
      <c r="G999" s="23"/>
      <c r="H999" s="23"/>
      <c r="I999" s="23"/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</row>
    <row r="1000" spans="1:20">
      <c r="A1000" s="23"/>
      <c r="B1000" s="23"/>
      <c r="C1000" s="23"/>
      <c r="D1000" s="23"/>
      <c r="E1000" s="23"/>
      <c r="F1000" s="23"/>
      <c r="G1000" s="23"/>
      <c r="H1000" s="23"/>
      <c r="I1000" s="23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 summaryRight="0"/>
  </sheetPr>
  <dimension ref="A1:S1000"/>
  <sheetViews>
    <sheetView workbookViewId="0"/>
  </sheetViews>
  <sheetFormatPr baseColWidth="10" defaultColWidth="11.1640625" defaultRowHeight="15" customHeight="1"/>
  <sheetData>
    <row r="1" spans="1:19">
      <c r="A1" s="23" t="str">
        <f ca="1">IFERROR(__xludf.DUMMYFUNCTION("IMPORTRANGE(""https://docs.google.com/spreadsheets/d/10IqGK8hPttXMfMGKFeSIUOsu5FYmsc1T33xvKX4SQDw/edit?gid=1688469650#gid=1688469650"",""01!A1:S"")"),"INDICADORES")</f>
        <v>INDICADORES</v>
      </c>
      <c r="B1" s="23" t="str">
        <f ca="1">IFERROR(__xludf.DUMMYFUNCTION("""COMPUTED_VALUE"""),"META ANUAL")</f>
        <v>META ANUAL</v>
      </c>
      <c r="C1" s="23" t="str">
        <f ca="1">IFERROR(__xludf.DUMMYFUNCTION("""COMPUTED_VALUE"""),"UNIDAD DE MEDIDA")</f>
        <v>UNIDAD DE MEDIDA</v>
      </c>
      <c r="D1" s="23" t="str">
        <f ca="1">IFERROR(__xludf.DUMMYFUNCTION("""COMPUTED_VALUE"""),"TIPO DE INDICADOR")</f>
        <v>TIPO DE INDICADOR</v>
      </c>
      <c r="E1" s="23" t="str">
        <f ca="1">IFERROR(__xludf.DUMMYFUNCTION("""COMPUTED_VALUE"""),"MEDIO DE VERIFICACION")</f>
        <v>MEDIO DE VERIFICACION</v>
      </c>
      <c r="F1" s="23" t="str">
        <f ca="1">IFERROR(__xludf.DUMMYFUNCTION("""COMPUTED_VALUE"""),"% AVANCE ")</f>
        <v xml:space="preserve">% AVANCE </v>
      </c>
      <c r="G1" s="23" t="str">
        <f ca="1">IFERROR(__xludf.DUMMYFUNCTION("""COMPUTED_VALUE"""),"OCTUBRE")</f>
        <v>OCTUBRE</v>
      </c>
      <c r="H1" s="23" t="str">
        <f ca="1">IFERROR(__xludf.DUMMYFUNCTION("""COMPUTED_VALUE"""),"NOVIEMBRE")</f>
        <v>NOVIEMBRE</v>
      </c>
      <c r="I1" s="23" t="str">
        <f ca="1">IFERROR(__xludf.DUMMYFUNCTION("""COMPUTED_VALUE"""),"DICIEMBRE")</f>
        <v>DICIEMBRE</v>
      </c>
      <c r="J1" s="23" t="str">
        <f ca="1">IFERROR(__xludf.DUMMYFUNCTION("""COMPUTED_VALUE"""),"ENERO ")</f>
        <v xml:space="preserve">ENERO </v>
      </c>
      <c r="K1" s="23" t="str">
        <f ca="1">IFERROR(__xludf.DUMMYFUNCTION("""COMPUTED_VALUE"""),"FEBRERO")</f>
        <v>FEBRERO</v>
      </c>
      <c r="L1" s="23" t="str">
        <f ca="1">IFERROR(__xludf.DUMMYFUNCTION("""COMPUTED_VALUE"""),"MARZO")</f>
        <v>MARZO</v>
      </c>
      <c r="M1" s="23" t="str">
        <f ca="1">IFERROR(__xludf.DUMMYFUNCTION("""COMPUTED_VALUE"""),"ABRIL")</f>
        <v>ABRIL</v>
      </c>
      <c r="N1" s="23" t="str">
        <f ca="1">IFERROR(__xludf.DUMMYFUNCTION("""COMPUTED_VALUE"""),"MAYO")</f>
        <v>MAYO</v>
      </c>
      <c r="O1" s="23" t="str">
        <f ca="1">IFERROR(__xludf.DUMMYFUNCTION("""COMPUTED_VALUE"""),"JUNIO")</f>
        <v>JUNIO</v>
      </c>
      <c r="P1" s="23" t="str">
        <f ca="1">IFERROR(__xludf.DUMMYFUNCTION("""COMPUTED_VALUE"""),"JULIO")</f>
        <v>JULIO</v>
      </c>
      <c r="Q1" s="23" t="str">
        <f ca="1">IFERROR(__xludf.DUMMYFUNCTION("""COMPUTED_VALUE"""),"AGOSTO")</f>
        <v>AGOSTO</v>
      </c>
      <c r="R1" s="23" t="str">
        <f ca="1">IFERROR(__xludf.DUMMYFUNCTION("""COMPUTED_VALUE"""),"SEPTIEMBRE")</f>
        <v>SEPTIEMBRE</v>
      </c>
      <c r="S1" s="23" t="str">
        <f ca="1">IFERROR(__xludf.DUMMYFUNCTION("""COMPUTED_VALUE"""),"SUMATORIA TOTAL")</f>
        <v>SUMATORIA TOTAL</v>
      </c>
    </row>
    <row r="2" spans="1:19">
      <c r="A2" s="23" t="str">
        <f ca="1">IFERROR(__xludf.DUMMYFUNCTION("""COMPUTED_VALUE"""),"SESIONES DE AYUNTAMIENTO")</f>
        <v>SESIONES DE AYUNTAMIENTO</v>
      </c>
      <c r="B2" s="23">
        <f ca="1">IFERROR(__xludf.DUMMYFUNCTION("""COMPUTED_VALUE"""),15)</f>
        <v>15</v>
      </c>
      <c r="C2" s="23" t="str">
        <f ca="1">IFERROR(__xludf.DUMMYFUNCTION("""COMPUTED_VALUE"""),"SESIONES")</f>
        <v>SESIONES</v>
      </c>
      <c r="D2" s="23" t="str">
        <f ca="1">IFERROR(__xludf.DUMMYFUNCTION("""COMPUTED_VALUE"""),"ASCENDENTE")</f>
        <v>ASCENDENTE</v>
      </c>
      <c r="E2" s="23" t="str">
        <f ca="1">IFERROR(__xludf.DUMMYFUNCTION("""COMPUTED_VALUE"""),"SESIONES PUBLICAS")</f>
        <v>SESIONES PUBLICAS</v>
      </c>
      <c r="F2" s="23">
        <f ca="1">IFERROR(__xludf.DUMMYFUNCTION("""COMPUTED_VALUE"""),0)</f>
        <v>0</v>
      </c>
      <c r="G2" s="23">
        <f ca="1">IFERROR(__xludf.DUMMYFUNCTION("""COMPUTED_VALUE"""),0)</f>
        <v>0</v>
      </c>
      <c r="H2" s="23">
        <f ca="1">IFERROR(__xludf.DUMMYFUNCTION("""COMPUTED_VALUE"""),0)</f>
        <v>0</v>
      </c>
      <c r="I2" s="23">
        <f ca="1">IFERROR(__xludf.DUMMYFUNCTION("""COMPUTED_VALUE"""),0)</f>
        <v>0</v>
      </c>
      <c r="J2" s="23">
        <f ca="1">IFERROR(__xludf.DUMMYFUNCTION("""COMPUTED_VALUE"""),0)</f>
        <v>0</v>
      </c>
      <c r="K2" s="23">
        <f ca="1">IFERROR(__xludf.DUMMYFUNCTION("""COMPUTED_VALUE"""),0)</f>
        <v>0</v>
      </c>
      <c r="L2" s="23">
        <f ca="1">IFERROR(__xludf.DUMMYFUNCTION("""COMPUTED_VALUE"""),0)</f>
        <v>0</v>
      </c>
      <c r="M2" s="23">
        <f ca="1">IFERROR(__xludf.DUMMYFUNCTION("""COMPUTED_VALUE"""),0)</f>
        <v>0</v>
      </c>
      <c r="N2" s="23">
        <f ca="1">IFERROR(__xludf.DUMMYFUNCTION("""COMPUTED_VALUE"""),0)</f>
        <v>0</v>
      </c>
      <c r="O2" s="23">
        <f ca="1">IFERROR(__xludf.DUMMYFUNCTION("""COMPUTED_VALUE"""),0)</f>
        <v>0</v>
      </c>
      <c r="P2" s="23">
        <f ca="1">IFERROR(__xludf.DUMMYFUNCTION("""COMPUTED_VALUE"""),0)</f>
        <v>0</v>
      </c>
      <c r="Q2" s="23">
        <f ca="1">IFERROR(__xludf.DUMMYFUNCTION("""COMPUTED_VALUE"""),0)</f>
        <v>0</v>
      </c>
      <c r="R2" s="23">
        <f ca="1">IFERROR(__xludf.DUMMYFUNCTION("""COMPUTED_VALUE"""),0)</f>
        <v>0</v>
      </c>
      <c r="S2" s="23">
        <f ca="1">IFERROR(__xludf.DUMMYFUNCTION("""COMPUTED_VALUE"""),0)</f>
        <v>0</v>
      </c>
    </row>
    <row r="3" spans="1:19">
      <c r="A3" s="23" t="str">
        <f ca="1">IFERROR(__xludf.DUMMYFUNCTION("""COMPUTED_VALUE"""),"CONSTANCIAS")</f>
        <v>CONSTANCIAS</v>
      </c>
      <c r="B3" s="23">
        <f ca="1">IFERROR(__xludf.DUMMYFUNCTION("""COMPUTED_VALUE"""),1200)</f>
        <v>1200</v>
      </c>
      <c r="C3" s="23" t="str">
        <f ca="1">IFERROR(__xludf.DUMMYFUNCTION("""COMPUTED_VALUE"""),"CONSTANCIAS")</f>
        <v>CONSTANCIAS</v>
      </c>
      <c r="D3" s="23" t="str">
        <f ca="1">IFERROR(__xludf.DUMMYFUNCTION("""COMPUTED_VALUE"""),"ASCENDENTE")</f>
        <v>ASCENDENTE</v>
      </c>
      <c r="E3" s="23" t="str">
        <f ca="1">IFERROR(__xludf.DUMMYFUNCTION("""COMPUTED_VALUE"""),"BITACORA DE ATENCION")</f>
        <v>BITACORA DE ATENCION</v>
      </c>
      <c r="F3" s="23">
        <f ca="1">IFERROR(__xludf.DUMMYFUNCTION("""COMPUTED_VALUE"""),0)</f>
        <v>0</v>
      </c>
      <c r="G3" s="23">
        <f ca="1">IFERROR(__xludf.DUMMYFUNCTION("""COMPUTED_VALUE"""),0)</f>
        <v>0</v>
      </c>
      <c r="H3" s="23">
        <f ca="1">IFERROR(__xludf.DUMMYFUNCTION("""COMPUTED_VALUE"""),0)</f>
        <v>0</v>
      </c>
      <c r="I3" s="23">
        <f ca="1">IFERROR(__xludf.DUMMYFUNCTION("""COMPUTED_VALUE"""),0)</f>
        <v>0</v>
      </c>
      <c r="J3" s="23">
        <f ca="1">IFERROR(__xludf.DUMMYFUNCTION("""COMPUTED_VALUE"""),0)</f>
        <v>0</v>
      </c>
      <c r="K3" s="23">
        <f ca="1">IFERROR(__xludf.DUMMYFUNCTION("""COMPUTED_VALUE"""),0)</f>
        <v>0</v>
      </c>
      <c r="L3" s="23">
        <f ca="1">IFERROR(__xludf.DUMMYFUNCTION("""COMPUTED_VALUE"""),0)</f>
        <v>0</v>
      </c>
      <c r="M3" s="23">
        <f ca="1">IFERROR(__xludf.DUMMYFUNCTION("""COMPUTED_VALUE"""),0)</f>
        <v>0</v>
      </c>
      <c r="N3" s="23">
        <f ca="1">IFERROR(__xludf.DUMMYFUNCTION("""COMPUTED_VALUE"""),0)</f>
        <v>0</v>
      </c>
      <c r="O3" s="23">
        <f ca="1">IFERROR(__xludf.DUMMYFUNCTION("""COMPUTED_VALUE"""),0)</f>
        <v>0</v>
      </c>
      <c r="P3" s="23">
        <f ca="1">IFERROR(__xludf.DUMMYFUNCTION("""COMPUTED_VALUE"""),0)</f>
        <v>0</v>
      </c>
      <c r="Q3" s="23">
        <f ca="1">IFERROR(__xludf.DUMMYFUNCTION("""COMPUTED_VALUE"""),0)</f>
        <v>0</v>
      </c>
      <c r="R3" s="23">
        <f ca="1">IFERROR(__xludf.DUMMYFUNCTION("""COMPUTED_VALUE"""),0)</f>
        <v>0</v>
      </c>
      <c r="S3" s="23">
        <f ca="1">IFERROR(__xludf.DUMMYFUNCTION("""COMPUTED_VALUE"""),0)</f>
        <v>0</v>
      </c>
    </row>
    <row r="4" spans="1:19">
      <c r="A4" s="23" t="str">
        <f ca="1">IFERROR(__xludf.DUMMYFUNCTION("""COMPUTED_VALUE"""),"TRAMITES DE CARTILLA")</f>
        <v>TRAMITES DE CARTILLA</v>
      </c>
      <c r="B4" s="23">
        <f ca="1">IFERROR(__xludf.DUMMYFUNCTION("""COMPUTED_VALUE"""),80)</f>
        <v>80</v>
      </c>
      <c r="C4" s="23" t="str">
        <f ca="1">IFERROR(__xludf.DUMMYFUNCTION("""COMPUTED_VALUE"""),"PRECARTILLAS ")</f>
        <v xml:space="preserve">PRECARTILLAS </v>
      </c>
      <c r="D4" s="23" t="str">
        <f ca="1">IFERROR(__xludf.DUMMYFUNCTION("""COMPUTED_VALUE"""),"ASCENDENTE")</f>
        <v>ASCENDENTE</v>
      </c>
      <c r="E4" s="23" t="str">
        <f ca="1">IFERROR(__xludf.DUMMYFUNCTION("""COMPUTED_VALUE"""),"BITACORA DE ATENCION")</f>
        <v>BITACORA DE ATENCION</v>
      </c>
      <c r="F4" s="23">
        <f ca="1">IFERROR(__xludf.DUMMYFUNCTION("""COMPUTED_VALUE"""),0)</f>
        <v>0</v>
      </c>
      <c r="G4" s="23">
        <f ca="1">IFERROR(__xludf.DUMMYFUNCTION("""COMPUTED_VALUE"""),0)</f>
        <v>0</v>
      </c>
      <c r="H4" s="23">
        <f ca="1">IFERROR(__xludf.DUMMYFUNCTION("""COMPUTED_VALUE"""),0)</f>
        <v>0</v>
      </c>
      <c r="I4" s="23">
        <f ca="1">IFERROR(__xludf.DUMMYFUNCTION("""COMPUTED_VALUE"""),0)</f>
        <v>0</v>
      </c>
      <c r="J4" s="23">
        <f ca="1">IFERROR(__xludf.DUMMYFUNCTION("""COMPUTED_VALUE"""),0)</f>
        <v>0</v>
      </c>
      <c r="K4" s="23">
        <f ca="1">IFERROR(__xludf.DUMMYFUNCTION("""COMPUTED_VALUE"""),0)</f>
        <v>0</v>
      </c>
      <c r="L4" s="23">
        <f ca="1">IFERROR(__xludf.DUMMYFUNCTION("""COMPUTED_VALUE"""),0)</f>
        <v>0</v>
      </c>
      <c r="M4" s="23">
        <f ca="1">IFERROR(__xludf.DUMMYFUNCTION("""COMPUTED_VALUE"""),0)</f>
        <v>0</v>
      </c>
      <c r="N4" s="23">
        <f ca="1">IFERROR(__xludf.DUMMYFUNCTION("""COMPUTED_VALUE"""),0)</f>
        <v>0</v>
      </c>
      <c r="O4" s="23">
        <f ca="1">IFERROR(__xludf.DUMMYFUNCTION("""COMPUTED_VALUE"""),0)</f>
        <v>0</v>
      </c>
      <c r="P4" s="23">
        <f ca="1">IFERROR(__xludf.DUMMYFUNCTION("""COMPUTED_VALUE"""),0)</f>
        <v>0</v>
      </c>
      <c r="Q4" s="23">
        <f ca="1">IFERROR(__xludf.DUMMYFUNCTION("""COMPUTED_VALUE"""),0)</f>
        <v>0</v>
      </c>
      <c r="R4" s="23">
        <f ca="1">IFERROR(__xludf.DUMMYFUNCTION("""COMPUTED_VALUE"""),0)</f>
        <v>0</v>
      </c>
      <c r="S4" s="23">
        <f ca="1">IFERROR(__xludf.DUMMYFUNCTION("""COMPUTED_VALUE"""),0)</f>
        <v>0</v>
      </c>
    </row>
    <row r="5" spans="1:19">
      <c r="A5" s="23" t="str">
        <f ca="1">IFERROR(__xludf.DUMMYFUNCTION("""COMPUTED_VALUE"""),"TITULOS DE CONCESION")</f>
        <v>TITULOS DE CONCESION</v>
      </c>
      <c r="B5" s="23">
        <f ca="1">IFERROR(__xludf.DUMMYFUNCTION("""COMPUTED_VALUE"""),15)</f>
        <v>15</v>
      </c>
      <c r="C5" s="23" t="str">
        <f ca="1">IFERROR(__xludf.DUMMYFUNCTION("""COMPUTED_VALUE"""),"TITULOS")</f>
        <v>TITULOS</v>
      </c>
      <c r="D5" s="23" t="str">
        <f ca="1">IFERROR(__xludf.DUMMYFUNCTION("""COMPUTED_VALUE"""),"ASCENDENTE")</f>
        <v>ASCENDENTE</v>
      </c>
      <c r="E5" s="23" t="str">
        <f ca="1">IFERROR(__xludf.DUMMYFUNCTION("""COMPUTED_VALUE"""),"BITACORA OPERATIVA")</f>
        <v>BITACORA OPERATIVA</v>
      </c>
      <c r="F5" s="23">
        <f ca="1">IFERROR(__xludf.DUMMYFUNCTION("""COMPUTED_VALUE"""),0)</f>
        <v>0</v>
      </c>
      <c r="G5" s="23">
        <f ca="1">IFERROR(__xludf.DUMMYFUNCTION("""COMPUTED_VALUE"""),0)</f>
        <v>0</v>
      </c>
      <c r="H5" s="23">
        <f ca="1">IFERROR(__xludf.DUMMYFUNCTION("""COMPUTED_VALUE"""),0)</f>
        <v>0</v>
      </c>
      <c r="I5" s="23">
        <f ca="1">IFERROR(__xludf.DUMMYFUNCTION("""COMPUTED_VALUE"""),0)</f>
        <v>0</v>
      </c>
      <c r="J5" s="23">
        <f ca="1">IFERROR(__xludf.DUMMYFUNCTION("""COMPUTED_VALUE"""),0)</f>
        <v>0</v>
      </c>
      <c r="K5" s="23">
        <f ca="1">IFERROR(__xludf.DUMMYFUNCTION("""COMPUTED_VALUE"""),0)</f>
        <v>0</v>
      </c>
      <c r="L5" s="23">
        <f ca="1">IFERROR(__xludf.DUMMYFUNCTION("""COMPUTED_VALUE"""),0)</f>
        <v>0</v>
      </c>
      <c r="M5" s="23">
        <f ca="1">IFERROR(__xludf.DUMMYFUNCTION("""COMPUTED_VALUE"""),0)</f>
        <v>0</v>
      </c>
      <c r="N5" s="23">
        <f ca="1">IFERROR(__xludf.DUMMYFUNCTION("""COMPUTED_VALUE"""),0)</f>
        <v>0</v>
      </c>
      <c r="O5" s="23">
        <f ca="1">IFERROR(__xludf.DUMMYFUNCTION("""COMPUTED_VALUE"""),0)</f>
        <v>0</v>
      </c>
      <c r="P5" s="23">
        <f ca="1">IFERROR(__xludf.DUMMYFUNCTION("""COMPUTED_VALUE"""),0)</f>
        <v>0</v>
      </c>
      <c r="Q5" s="23">
        <f ca="1">IFERROR(__xludf.DUMMYFUNCTION("""COMPUTED_VALUE"""),0)</f>
        <v>0</v>
      </c>
      <c r="R5" s="23">
        <f ca="1">IFERROR(__xludf.DUMMYFUNCTION("""COMPUTED_VALUE"""),0)</f>
        <v>0</v>
      </c>
      <c r="S5" s="23">
        <f ca="1">IFERROR(__xludf.DUMMYFUNCTION("""COMPUTED_VALUE"""),0)</f>
        <v>0</v>
      </c>
    </row>
    <row r="6" spans="1:19">
      <c r="A6" s="23" t="str">
        <f ca="1">IFERROR(__xludf.DUMMYFUNCTION("""COMPUTED_VALUE"""),"EXHUMACIONES")</f>
        <v>EXHUMACIONES</v>
      </c>
      <c r="B6" s="23">
        <f ca="1">IFERROR(__xludf.DUMMYFUNCTION("""COMPUTED_VALUE"""),30)</f>
        <v>30</v>
      </c>
      <c r="C6" s="23" t="str">
        <f ca="1">IFERROR(__xludf.DUMMYFUNCTION("""COMPUTED_VALUE"""),"EXHUMACIONES")</f>
        <v>EXHUMACIONES</v>
      </c>
      <c r="D6" s="23" t="str">
        <f ca="1">IFERROR(__xludf.DUMMYFUNCTION("""COMPUTED_VALUE"""),"ASCENDENTE")</f>
        <v>ASCENDENTE</v>
      </c>
      <c r="E6" s="23" t="str">
        <f ca="1">IFERROR(__xludf.DUMMYFUNCTION("""COMPUTED_VALUE"""),"BITACORA OPERATIVA")</f>
        <v>BITACORA OPERATIVA</v>
      </c>
      <c r="F6" s="23">
        <f ca="1">IFERROR(__xludf.DUMMYFUNCTION("""COMPUTED_VALUE"""),0)</f>
        <v>0</v>
      </c>
      <c r="G6" s="23">
        <f ca="1">IFERROR(__xludf.DUMMYFUNCTION("""COMPUTED_VALUE"""),0)</f>
        <v>0</v>
      </c>
      <c r="H6" s="23">
        <f ca="1">IFERROR(__xludf.DUMMYFUNCTION("""COMPUTED_VALUE"""),0)</f>
        <v>0</v>
      </c>
      <c r="I6" s="23">
        <f ca="1">IFERROR(__xludf.DUMMYFUNCTION("""COMPUTED_VALUE"""),0)</f>
        <v>0</v>
      </c>
      <c r="J6" s="23">
        <f ca="1">IFERROR(__xludf.DUMMYFUNCTION("""COMPUTED_VALUE"""),0)</f>
        <v>0</v>
      </c>
      <c r="K6" s="23">
        <f ca="1">IFERROR(__xludf.DUMMYFUNCTION("""COMPUTED_VALUE"""),0)</f>
        <v>0</v>
      </c>
      <c r="L6" s="23">
        <f ca="1">IFERROR(__xludf.DUMMYFUNCTION("""COMPUTED_VALUE"""),0)</f>
        <v>0</v>
      </c>
      <c r="M6" s="23">
        <f ca="1">IFERROR(__xludf.DUMMYFUNCTION("""COMPUTED_VALUE"""),0)</f>
        <v>0</v>
      </c>
      <c r="N6" s="23">
        <f ca="1">IFERROR(__xludf.DUMMYFUNCTION("""COMPUTED_VALUE"""),0)</f>
        <v>0</v>
      </c>
      <c r="O6" s="23">
        <f ca="1">IFERROR(__xludf.DUMMYFUNCTION("""COMPUTED_VALUE"""),0)</f>
        <v>0</v>
      </c>
      <c r="P6" s="23">
        <f ca="1">IFERROR(__xludf.DUMMYFUNCTION("""COMPUTED_VALUE"""),0)</f>
        <v>0</v>
      </c>
      <c r="Q6" s="23">
        <f ca="1">IFERROR(__xludf.DUMMYFUNCTION("""COMPUTED_VALUE"""),0)</f>
        <v>0</v>
      </c>
      <c r="R6" s="23">
        <f ca="1">IFERROR(__xludf.DUMMYFUNCTION("""COMPUTED_VALUE"""),0)</f>
        <v>0</v>
      </c>
      <c r="S6" s="23">
        <f ca="1">IFERROR(__xludf.DUMMYFUNCTION("""COMPUTED_VALUE"""),0)</f>
        <v>0</v>
      </c>
    </row>
    <row r="7" spans="1:19">
      <c r="A7" s="23" t="str">
        <f ca="1">IFERROR(__xludf.DUMMYFUNCTION("""COMPUTED_VALUE"""),"CAMBIOS DE PROPIETARIO")</f>
        <v>CAMBIOS DE PROPIETARIO</v>
      </c>
      <c r="B7" s="23">
        <f ca="1">IFERROR(__xludf.DUMMYFUNCTION("""COMPUTED_VALUE"""),12)</f>
        <v>12</v>
      </c>
      <c r="C7" s="23" t="str">
        <f ca="1">IFERROR(__xludf.DUMMYFUNCTION("""COMPUTED_VALUE"""),"CAMBIOS")</f>
        <v>CAMBIOS</v>
      </c>
      <c r="D7" s="23" t="str">
        <f ca="1">IFERROR(__xludf.DUMMYFUNCTION("""COMPUTED_VALUE"""),"ASCENDENTE")</f>
        <v>ASCENDENTE</v>
      </c>
      <c r="E7" s="23" t="str">
        <f ca="1">IFERROR(__xludf.DUMMYFUNCTION("""COMPUTED_VALUE"""),"BITACORA OPERATIVA")</f>
        <v>BITACORA OPERATIVA</v>
      </c>
      <c r="F7" s="23">
        <f ca="1">IFERROR(__xludf.DUMMYFUNCTION("""COMPUTED_VALUE"""),0)</f>
        <v>0</v>
      </c>
      <c r="G7" s="23">
        <f ca="1">IFERROR(__xludf.DUMMYFUNCTION("""COMPUTED_VALUE"""),0)</f>
        <v>0</v>
      </c>
      <c r="H7" s="23">
        <f ca="1">IFERROR(__xludf.DUMMYFUNCTION("""COMPUTED_VALUE"""),0)</f>
        <v>0</v>
      </c>
      <c r="I7" s="23">
        <f ca="1">IFERROR(__xludf.DUMMYFUNCTION("""COMPUTED_VALUE"""),0)</f>
        <v>0</v>
      </c>
      <c r="J7" s="23">
        <f ca="1">IFERROR(__xludf.DUMMYFUNCTION("""COMPUTED_VALUE"""),0)</f>
        <v>0</v>
      </c>
      <c r="K7" s="23">
        <f ca="1">IFERROR(__xludf.DUMMYFUNCTION("""COMPUTED_VALUE"""),0)</f>
        <v>0</v>
      </c>
      <c r="L7" s="23">
        <f ca="1">IFERROR(__xludf.DUMMYFUNCTION("""COMPUTED_VALUE"""),0)</f>
        <v>0</v>
      </c>
      <c r="M7" s="23">
        <f ca="1">IFERROR(__xludf.DUMMYFUNCTION("""COMPUTED_VALUE"""),0)</f>
        <v>0</v>
      </c>
      <c r="N7" s="23">
        <f ca="1">IFERROR(__xludf.DUMMYFUNCTION("""COMPUTED_VALUE"""),0)</f>
        <v>0</v>
      </c>
      <c r="O7" s="23">
        <f ca="1">IFERROR(__xludf.DUMMYFUNCTION("""COMPUTED_VALUE"""),0)</f>
        <v>0</v>
      </c>
      <c r="P7" s="23">
        <f ca="1">IFERROR(__xludf.DUMMYFUNCTION("""COMPUTED_VALUE"""),0)</f>
        <v>0</v>
      </c>
      <c r="Q7" s="23">
        <f ca="1">IFERROR(__xludf.DUMMYFUNCTION("""COMPUTED_VALUE"""),0)</f>
        <v>0</v>
      </c>
      <c r="R7" s="23">
        <f ca="1">IFERROR(__xludf.DUMMYFUNCTION("""COMPUTED_VALUE"""),0)</f>
        <v>0</v>
      </c>
      <c r="S7" s="23">
        <f ca="1">IFERROR(__xludf.DUMMYFUNCTION("""COMPUTED_VALUE"""),0)</f>
        <v>0</v>
      </c>
    </row>
    <row r="8" spans="1:19">
      <c r="A8" s="23" t="str">
        <f ca="1">IFERROR(__xludf.DUMMYFUNCTION("""COMPUTED_VALUE"""),"MANTENIMIENTO DE FOSA")</f>
        <v>MANTENIMIENTO DE FOSA</v>
      </c>
      <c r="B8" s="23">
        <f ca="1">IFERROR(__xludf.DUMMYFUNCTION("""COMPUTED_VALUE"""),520)</f>
        <v>520</v>
      </c>
      <c r="C8" s="23" t="str">
        <f ca="1">IFERROR(__xludf.DUMMYFUNCTION("""COMPUTED_VALUE"""),"MANTENIMIENTOS")</f>
        <v>MANTENIMIENTOS</v>
      </c>
      <c r="D8" s="23" t="str">
        <f ca="1">IFERROR(__xludf.DUMMYFUNCTION("""COMPUTED_VALUE"""),"ASCENDENTE")</f>
        <v>ASCENDENTE</v>
      </c>
      <c r="E8" s="23" t="str">
        <f ca="1">IFERROR(__xludf.DUMMYFUNCTION("""COMPUTED_VALUE"""),"BITACORA OPERATIVA")</f>
        <v>BITACORA OPERATIVA</v>
      </c>
      <c r="F8" s="23">
        <f ca="1">IFERROR(__xludf.DUMMYFUNCTION("""COMPUTED_VALUE"""),0)</f>
        <v>0</v>
      </c>
      <c r="G8" s="23">
        <f ca="1">IFERROR(__xludf.DUMMYFUNCTION("""COMPUTED_VALUE"""),0)</f>
        <v>0</v>
      </c>
      <c r="H8" s="23">
        <f ca="1">IFERROR(__xludf.DUMMYFUNCTION("""COMPUTED_VALUE"""),0)</f>
        <v>0</v>
      </c>
      <c r="I8" s="23">
        <f ca="1">IFERROR(__xludf.DUMMYFUNCTION("""COMPUTED_VALUE"""),0)</f>
        <v>0</v>
      </c>
      <c r="J8" s="23">
        <f ca="1">IFERROR(__xludf.DUMMYFUNCTION("""COMPUTED_VALUE"""),0)</f>
        <v>0</v>
      </c>
      <c r="K8" s="23">
        <f ca="1">IFERROR(__xludf.DUMMYFUNCTION("""COMPUTED_VALUE"""),0)</f>
        <v>0</v>
      </c>
      <c r="L8" s="23">
        <f ca="1">IFERROR(__xludf.DUMMYFUNCTION("""COMPUTED_VALUE"""),0)</f>
        <v>0</v>
      </c>
      <c r="M8" s="23">
        <f ca="1">IFERROR(__xludf.DUMMYFUNCTION("""COMPUTED_VALUE"""),0)</f>
        <v>0</v>
      </c>
      <c r="N8" s="23">
        <f ca="1">IFERROR(__xludf.DUMMYFUNCTION("""COMPUTED_VALUE"""),0)</f>
        <v>0</v>
      </c>
      <c r="O8" s="23">
        <f ca="1">IFERROR(__xludf.DUMMYFUNCTION("""COMPUTED_VALUE"""),0)</f>
        <v>0</v>
      </c>
      <c r="P8" s="23">
        <f ca="1">IFERROR(__xludf.DUMMYFUNCTION("""COMPUTED_VALUE"""),0)</f>
        <v>0</v>
      </c>
      <c r="Q8" s="23">
        <f ca="1">IFERROR(__xludf.DUMMYFUNCTION("""COMPUTED_VALUE"""),0)</f>
        <v>0</v>
      </c>
      <c r="R8" s="23">
        <f ca="1">IFERROR(__xludf.DUMMYFUNCTION("""COMPUTED_VALUE"""),0)</f>
        <v>0</v>
      </c>
      <c r="S8" s="23">
        <f ca="1">IFERROR(__xludf.DUMMYFUNCTION("""COMPUTED_VALUE"""),0)</f>
        <v>0</v>
      </c>
    </row>
    <row r="9" spans="1:19">
      <c r="A9" s="23" t="str">
        <f ca="1">IFERROR(__xludf.DUMMYFUNCTION("""COMPUTED_VALUE"""),"TRAMITE DE REGULARIZACION")</f>
        <v>TRAMITE DE REGULARIZACION</v>
      </c>
      <c r="B9" s="23">
        <f ca="1">IFERROR(__xludf.DUMMYFUNCTION("""COMPUTED_VALUE"""),500)</f>
        <v>500</v>
      </c>
      <c r="C9" s="23" t="str">
        <f ca="1">IFERROR(__xludf.DUMMYFUNCTION("""COMPUTED_VALUE"""),"TRAMITES REALIZADOS")</f>
        <v>TRAMITES REALIZADOS</v>
      </c>
      <c r="D9" s="23" t="str">
        <f ca="1">IFERROR(__xludf.DUMMYFUNCTION("""COMPUTED_VALUE"""),"ASCENDENTE")</f>
        <v>ASCENDENTE</v>
      </c>
      <c r="E9" s="23" t="str">
        <f ca="1">IFERROR(__xludf.DUMMYFUNCTION("""COMPUTED_VALUE"""),"BITACORA OPERATIVA")</f>
        <v>BITACORA OPERATIVA</v>
      </c>
      <c r="F9" s="23">
        <f ca="1">IFERROR(__xludf.DUMMYFUNCTION("""COMPUTED_VALUE"""),0)</f>
        <v>0</v>
      </c>
      <c r="G9" s="23">
        <f ca="1">IFERROR(__xludf.DUMMYFUNCTION("""COMPUTED_VALUE"""),0)</f>
        <v>0</v>
      </c>
      <c r="H9" s="23">
        <f ca="1">IFERROR(__xludf.DUMMYFUNCTION("""COMPUTED_VALUE"""),0)</f>
        <v>0</v>
      </c>
      <c r="I9" s="23">
        <f ca="1">IFERROR(__xludf.DUMMYFUNCTION("""COMPUTED_VALUE"""),0)</f>
        <v>0</v>
      </c>
      <c r="J9" s="23">
        <f ca="1">IFERROR(__xludf.DUMMYFUNCTION("""COMPUTED_VALUE"""),0)</f>
        <v>0</v>
      </c>
      <c r="K9" s="23">
        <f ca="1">IFERROR(__xludf.DUMMYFUNCTION("""COMPUTED_VALUE"""),0)</f>
        <v>0</v>
      </c>
      <c r="L9" s="23">
        <f ca="1">IFERROR(__xludf.DUMMYFUNCTION("""COMPUTED_VALUE"""),0)</f>
        <v>0</v>
      </c>
      <c r="M9" s="23">
        <f ca="1">IFERROR(__xludf.DUMMYFUNCTION("""COMPUTED_VALUE"""),0)</f>
        <v>0</v>
      </c>
      <c r="N9" s="23">
        <f ca="1">IFERROR(__xludf.DUMMYFUNCTION("""COMPUTED_VALUE"""),0)</f>
        <v>0</v>
      </c>
      <c r="O9" s="23">
        <f ca="1">IFERROR(__xludf.DUMMYFUNCTION("""COMPUTED_VALUE"""),0)</f>
        <v>0</v>
      </c>
      <c r="P9" s="23">
        <f ca="1">IFERROR(__xludf.DUMMYFUNCTION("""COMPUTED_VALUE"""),0)</f>
        <v>0</v>
      </c>
      <c r="Q9" s="23">
        <f ca="1">IFERROR(__xludf.DUMMYFUNCTION("""COMPUTED_VALUE"""),0)</f>
        <v>0</v>
      </c>
      <c r="R9" s="23">
        <f ca="1">IFERROR(__xludf.DUMMYFUNCTION("""COMPUTED_VALUE"""),0)</f>
        <v>0</v>
      </c>
      <c r="S9" s="23">
        <f ca="1">IFERROR(__xludf.DUMMYFUNCTION("""COMPUTED_VALUE"""),0)</f>
        <v>0</v>
      </c>
    </row>
    <row r="10" spans="1:19">
      <c r="A10" s="23" t="str">
        <f ca="1">IFERROR(__xludf.DUMMYFUNCTION("""COMPUTED_VALUE"""),"NACIMIENTOS")</f>
        <v>NACIMIENTOS</v>
      </c>
      <c r="B10" s="23">
        <f ca="1">IFERROR(__xludf.DUMMYFUNCTION("""COMPUTED_VALUE"""),1100)</f>
        <v>1100</v>
      </c>
      <c r="C10" s="23" t="str">
        <f ca="1">IFERROR(__xludf.DUMMYFUNCTION("""COMPUTED_VALUE"""),"NACIMIENTOS")</f>
        <v>NACIMIENTOS</v>
      </c>
      <c r="D10" s="23" t="str">
        <f ca="1">IFERROR(__xludf.DUMMYFUNCTION("""COMPUTED_VALUE"""),"ASCENDENTE")</f>
        <v>ASCENDENTE</v>
      </c>
      <c r="E10" s="23" t="str">
        <f ca="1">IFERROR(__xludf.DUMMYFUNCTION("""COMPUTED_VALUE"""),"BITACORA OPERATIVA")</f>
        <v>BITACORA OPERATIVA</v>
      </c>
      <c r="F10" s="23">
        <f ca="1">IFERROR(__xludf.DUMMYFUNCTION("""COMPUTED_VALUE"""),0)</f>
        <v>0</v>
      </c>
      <c r="G10" s="23">
        <f ca="1">IFERROR(__xludf.DUMMYFUNCTION("""COMPUTED_VALUE"""),0)</f>
        <v>0</v>
      </c>
      <c r="H10" s="23">
        <f ca="1">IFERROR(__xludf.DUMMYFUNCTION("""COMPUTED_VALUE"""),0)</f>
        <v>0</v>
      </c>
      <c r="I10" s="23">
        <f ca="1">IFERROR(__xludf.DUMMYFUNCTION("""COMPUTED_VALUE"""),0)</f>
        <v>0</v>
      </c>
      <c r="J10" s="23">
        <f ca="1">IFERROR(__xludf.DUMMYFUNCTION("""COMPUTED_VALUE"""),0)</f>
        <v>0</v>
      </c>
      <c r="K10" s="23">
        <f ca="1">IFERROR(__xludf.DUMMYFUNCTION("""COMPUTED_VALUE"""),0)</f>
        <v>0</v>
      </c>
      <c r="L10" s="23">
        <f ca="1">IFERROR(__xludf.DUMMYFUNCTION("""COMPUTED_VALUE"""),0)</f>
        <v>0</v>
      </c>
      <c r="M10" s="23">
        <f ca="1">IFERROR(__xludf.DUMMYFUNCTION("""COMPUTED_VALUE"""),0)</f>
        <v>0</v>
      </c>
      <c r="N10" s="23">
        <f ca="1">IFERROR(__xludf.DUMMYFUNCTION("""COMPUTED_VALUE"""),0)</f>
        <v>0</v>
      </c>
      <c r="O10" s="23">
        <f ca="1">IFERROR(__xludf.DUMMYFUNCTION("""COMPUTED_VALUE"""),0)</f>
        <v>0</v>
      </c>
      <c r="P10" s="23">
        <f ca="1">IFERROR(__xludf.DUMMYFUNCTION("""COMPUTED_VALUE"""),0)</f>
        <v>0</v>
      </c>
      <c r="Q10" s="23">
        <f ca="1">IFERROR(__xludf.DUMMYFUNCTION("""COMPUTED_VALUE"""),0)</f>
        <v>0</v>
      </c>
      <c r="R10" s="23">
        <f ca="1">IFERROR(__xludf.DUMMYFUNCTION("""COMPUTED_VALUE"""),0)</f>
        <v>0</v>
      </c>
      <c r="S10" s="23">
        <f ca="1">IFERROR(__xludf.DUMMYFUNCTION("""COMPUTED_VALUE"""),0)</f>
        <v>0</v>
      </c>
    </row>
    <row r="11" spans="1:19">
      <c r="A11" s="23" t="str">
        <f ca="1">IFERROR(__xludf.DUMMYFUNCTION("""COMPUTED_VALUE"""),"DEFUNCIONES")</f>
        <v>DEFUNCIONES</v>
      </c>
      <c r="B11" s="23">
        <f ca="1">IFERROR(__xludf.DUMMYFUNCTION("""COMPUTED_VALUE"""),980)</f>
        <v>980</v>
      </c>
      <c r="C11" s="23" t="str">
        <f ca="1">IFERROR(__xludf.DUMMYFUNCTION("""COMPUTED_VALUE"""),"DEFUNCIONES")</f>
        <v>DEFUNCIONES</v>
      </c>
      <c r="D11" s="23" t="str">
        <f ca="1">IFERROR(__xludf.DUMMYFUNCTION("""COMPUTED_VALUE"""),"ASCENDENTE")</f>
        <v>ASCENDENTE</v>
      </c>
      <c r="E11" s="23" t="str">
        <f ca="1">IFERROR(__xludf.DUMMYFUNCTION("""COMPUTED_VALUE"""),"BITACORA OPERATIVA")</f>
        <v>BITACORA OPERATIVA</v>
      </c>
      <c r="F11" s="23">
        <f ca="1">IFERROR(__xludf.DUMMYFUNCTION("""COMPUTED_VALUE"""),0)</f>
        <v>0</v>
      </c>
      <c r="G11" s="23">
        <f ca="1">IFERROR(__xludf.DUMMYFUNCTION("""COMPUTED_VALUE"""),0)</f>
        <v>0</v>
      </c>
      <c r="H11" s="23">
        <f ca="1">IFERROR(__xludf.DUMMYFUNCTION("""COMPUTED_VALUE"""),0)</f>
        <v>0</v>
      </c>
      <c r="I11" s="23">
        <f ca="1">IFERROR(__xludf.DUMMYFUNCTION("""COMPUTED_VALUE"""),0)</f>
        <v>0</v>
      </c>
      <c r="J11" s="23">
        <f ca="1">IFERROR(__xludf.DUMMYFUNCTION("""COMPUTED_VALUE"""),0)</f>
        <v>0</v>
      </c>
      <c r="K11" s="23">
        <f ca="1">IFERROR(__xludf.DUMMYFUNCTION("""COMPUTED_VALUE"""),0)</f>
        <v>0</v>
      </c>
      <c r="L11" s="23">
        <f ca="1">IFERROR(__xludf.DUMMYFUNCTION("""COMPUTED_VALUE"""),0)</f>
        <v>0</v>
      </c>
      <c r="M11" s="23">
        <f ca="1">IFERROR(__xludf.DUMMYFUNCTION("""COMPUTED_VALUE"""),0)</f>
        <v>0</v>
      </c>
      <c r="N11" s="23">
        <f ca="1">IFERROR(__xludf.DUMMYFUNCTION("""COMPUTED_VALUE"""),0)</f>
        <v>0</v>
      </c>
      <c r="O11" s="23">
        <f ca="1">IFERROR(__xludf.DUMMYFUNCTION("""COMPUTED_VALUE"""),0)</f>
        <v>0</v>
      </c>
      <c r="P11" s="23">
        <f ca="1">IFERROR(__xludf.DUMMYFUNCTION("""COMPUTED_VALUE"""),0)</f>
        <v>0</v>
      </c>
      <c r="Q11" s="23">
        <f ca="1">IFERROR(__xludf.DUMMYFUNCTION("""COMPUTED_VALUE"""),0)</f>
        <v>0</v>
      </c>
      <c r="R11" s="23">
        <f ca="1">IFERROR(__xludf.DUMMYFUNCTION("""COMPUTED_VALUE"""),0)</f>
        <v>0</v>
      </c>
      <c r="S11" s="23">
        <f ca="1">IFERROR(__xludf.DUMMYFUNCTION("""COMPUTED_VALUE"""),0)</f>
        <v>0</v>
      </c>
    </row>
    <row r="12" spans="1:19">
      <c r="A12" s="23" t="str">
        <f ca="1">IFERROR(__xludf.DUMMYFUNCTION("""COMPUTED_VALUE"""),"DIVORCIOS")</f>
        <v>DIVORCIOS</v>
      </c>
      <c r="B12" s="23">
        <f ca="1">IFERROR(__xludf.DUMMYFUNCTION("""COMPUTED_VALUE"""),70)</f>
        <v>70</v>
      </c>
      <c r="C12" s="23" t="str">
        <f ca="1">IFERROR(__xludf.DUMMYFUNCTION("""COMPUTED_VALUE"""),"DIVORCIOS")</f>
        <v>DIVORCIOS</v>
      </c>
      <c r="D12" s="23" t="str">
        <f ca="1">IFERROR(__xludf.DUMMYFUNCTION("""COMPUTED_VALUE"""),"ASCENDENTE")</f>
        <v>ASCENDENTE</v>
      </c>
      <c r="E12" s="23" t="str">
        <f ca="1">IFERROR(__xludf.DUMMYFUNCTION("""COMPUTED_VALUE"""),"BITACORA OPERATIVA")</f>
        <v>BITACORA OPERATIVA</v>
      </c>
      <c r="F12" s="23">
        <f ca="1">IFERROR(__xludf.DUMMYFUNCTION("""COMPUTED_VALUE"""),0)</f>
        <v>0</v>
      </c>
      <c r="G12" s="23">
        <f ca="1">IFERROR(__xludf.DUMMYFUNCTION("""COMPUTED_VALUE"""),0)</f>
        <v>0</v>
      </c>
      <c r="H12" s="23">
        <f ca="1">IFERROR(__xludf.DUMMYFUNCTION("""COMPUTED_VALUE"""),0)</f>
        <v>0</v>
      </c>
      <c r="I12" s="23">
        <f ca="1">IFERROR(__xludf.DUMMYFUNCTION("""COMPUTED_VALUE"""),0)</f>
        <v>0</v>
      </c>
      <c r="J12" s="23">
        <f ca="1">IFERROR(__xludf.DUMMYFUNCTION("""COMPUTED_VALUE"""),0)</f>
        <v>0</v>
      </c>
      <c r="K12" s="23">
        <f ca="1">IFERROR(__xludf.DUMMYFUNCTION("""COMPUTED_VALUE"""),0)</f>
        <v>0</v>
      </c>
      <c r="L12" s="23">
        <f ca="1">IFERROR(__xludf.DUMMYFUNCTION("""COMPUTED_VALUE"""),0)</f>
        <v>0</v>
      </c>
      <c r="M12" s="23">
        <f ca="1">IFERROR(__xludf.DUMMYFUNCTION("""COMPUTED_VALUE"""),0)</f>
        <v>0</v>
      </c>
      <c r="N12" s="23">
        <f ca="1">IFERROR(__xludf.DUMMYFUNCTION("""COMPUTED_VALUE"""),0)</f>
        <v>0</v>
      </c>
      <c r="O12" s="23">
        <f ca="1">IFERROR(__xludf.DUMMYFUNCTION("""COMPUTED_VALUE"""),0)</f>
        <v>0</v>
      </c>
      <c r="P12" s="23">
        <f ca="1">IFERROR(__xludf.DUMMYFUNCTION("""COMPUTED_VALUE"""),0)</f>
        <v>0</v>
      </c>
      <c r="Q12" s="23">
        <f ca="1">IFERROR(__xludf.DUMMYFUNCTION("""COMPUTED_VALUE"""),0)</f>
        <v>0</v>
      </c>
      <c r="R12" s="23">
        <f ca="1">IFERROR(__xludf.DUMMYFUNCTION("""COMPUTED_VALUE"""),0)</f>
        <v>0</v>
      </c>
      <c r="S12" s="23">
        <f ca="1">IFERROR(__xludf.DUMMYFUNCTION("""COMPUTED_VALUE"""),0)</f>
        <v>0</v>
      </c>
    </row>
    <row r="13" spans="1:19">
      <c r="A13" s="23" t="str">
        <f ca="1">IFERROR(__xludf.DUMMYFUNCTION("""COMPUTED_VALUE"""),"MATRIMONIO")</f>
        <v>MATRIMONIO</v>
      </c>
      <c r="B13" s="23">
        <f ca="1">IFERROR(__xludf.DUMMYFUNCTION("""COMPUTED_VALUE"""),80)</f>
        <v>80</v>
      </c>
      <c r="C13" s="23" t="str">
        <f ca="1">IFERROR(__xludf.DUMMYFUNCTION("""COMPUTED_VALUE"""),"MATRIONIOS")</f>
        <v>MATRIONIOS</v>
      </c>
      <c r="D13" s="23" t="str">
        <f ca="1">IFERROR(__xludf.DUMMYFUNCTION("""COMPUTED_VALUE"""),"ASCENDENTE")</f>
        <v>ASCENDENTE</v>
      </c>
      <c r="E13" s="23" t="str">
        <f ca="1">IFERROR(__xludf.DUMMYFUNCTION("""COMPUTED_VALUE"""),"BITACORA OPERATIVA")</f>
        <v>BITACORA OPERATIVA</v>
      </c>
      <c r="F13" s="23">
        <f ca="1">IFERROR(__xludf.DUMMYFUNCTION("""COMPUTED_VALUE"""),0)</f>
        <v>0</v>
      </c>
      <c r="G13" s="23">
        <f ca="1">IFERROR(__xludf.DUMMYFUNCTION("""COMPUTED_VALUE"""),0)</f>
        <v>0</v>
      </c>
      <c r="H13" s="23">
        <f ca="1">IFERROR(__xludf.DUMMYFUNCTION("""COMPUTED_VALUE"""),0)</f>
        <v>0</v>
      </c>
      <c r="I13" s="23">
        <f ca="1">IFERROR(__xludf.DUMMYFUNCTION("""COMPUTED_VALUE"""),0)</f>
        <v>0</v>
      </c>
      <c r="J13" s="23">
        <f ca="1">IFERROR(__xludf.DUMMYFUNCTION("""COMPUTED_VALUE"""),0)</f>
        <v>0</v>
      </c>
      <c r="K13" s="23">
        <f ca="1">IFERROR(__xludf.DUMMYFUNCTION("""COMPUTED_VALUE"""),0)</f>
        <v>0</v>
      </c>
      <c r="L13" s="23">
        <f ca="1">IFERROR(__xludf.DUMMYFUNCTION("""COMPUTED_VALUE"""),0)</f>
        <v>0</v>
      </c>
      <c r="M13" s="23">
        <f ca="1">IFERROR(__xludf.DUMMYFUNCTION("""COMPUTED_VALUE"""),0)</f>
        <v>0</v>
      </c>
      <c r="N13" s="23">
        <f ca="1">IFERROR(__xludf.DUMMYFUNCTION("""COMPUTED_VALUE"""),0)</f>
        <v>0</v>
      </c>
      <c r="O13" s="23">
        <f ca="1">IFERROR(__xludf.DUMMYFUNCTION("""COMPUTED_VALUE"""),0)</f>
        <v>0</v>
      </c>
      <c r="P13" s="23">
        <f ca="1">IFERROR(__xludf.DUMMYFUNCTION("""COMPUTED_VALUE"""),0)</f>
        <v>0</v>
      </c>
      <c r="Q13" s="23">
        <f ca="1">IFERROR(__xludf.DUMMYFUNCTION("""COMPUTED_VALUE"""),0)</f>
        <v>0</v>
      </c>
      <c r="R13" s="23">
        <f ca="1">IFERROR(__xludf.DUMMYFUNCTION("""COMPUTED_VALUE"""),0)</f>
        <v>0</v>
      </c>
      <c r="S13" s="23">
        <f ca="1">IFERROR(__xludf.DUMMYFUNCTION("""COMPUTED_VALUE"""),0)</f>
        <v>0</v>
      </c>
    </row>
    <row r="14" spans="1:19">
      <c r="A14" s="23" t="str">
        <f ca="1">IFERROR(__xludf.DUMMYFUNCTION("""COMPUTED_VALUE"""),"ACLARACIONES")</f>
        <v>ACLARACIONES</v>
      </c>
      <c r="B14" s="23">
        <f ca="1">IFERROR(__xludf.DUMMYFUNCTION("""COMPUTED_VALUE"""),30)</f>
        <v>30</v>
      </c>
      <c r="C14" s="23" t="str">
        <f ca="1">IFERROR(__xludf.DUMMYFUNCTION("""COMPUTED_VALUE"""),"ACLARACIONES")</f>
        <v>ACLARACIONES</v>
      </c>
      <c r="D14" s="23" t="str">
        <f ca="1">IFERROR(__xludf.DUMMYFUNCTION("""COMPUTED_VALUE"""),"ASCENDENTE")</f>
        <v>ASCENDENTE</v>
      </c>
      <c r="E14" s="23" t="str">
        <f ca="1">IFERROR(__xludf.DUMMYFUNCTION("""COMPUTED_VALUE"""),"BITACORA OPERATIVA")</f>
        <v>BITACORA OPERATIVA</v>
      </c>
      <c r="F14" s="23">
        <f ca="1">IFERROR(__xludf.DUMMYFUNCTION("""COMPUTED_VALUE"""),0)</f>
        <v>0</v>
      </c>
      <c r="G14" s="23">
        <f ca="1">IFERROR(__xludf.DUMMYFUNCTION("""COMPUTED_VALUE"""),0)</f>
        <v>0</v>
      </c>
      <c r="H14" s="23">
        <f ca="1">IFERROR(__xludf.DUMMYFUNCTION("""COMPUTED_VALUE"""),0)</f>
        <v>0</v>
      </c>
      <c r="I14" s="23">
        <f ca="1">IFERROR(__xludf.DUMMYFUNCTION("""COMPUTED_VALUE"""),0)</f>
        <v>0</v>
      </c>
      <c r="J14" s="23">
        <f ca="1">IFERROR(__xludf.DUMMYFUNCTION("""COMPUTED_VALUE"""),0)</f>
        <v>0</v>
      </c>
      <c r="K14" s="23">
        <f ca="1">IFERROR(__xludf.DUMMYFUNCTION("""COMPUTED_VALUE"""),0)</f>
        <v>0</v>
      </c>
      <c r="L14" s="23">
        <f ca="1">IFERROR(__xludf.DUMMYFUNCTION("""COMPUTED_VALUE"""),0)</f>
        <v>0</v>
      </c>
      <c r="M14" s="23">
        <f ca="1">IFERROR(__xludf.DUMMYFUNCTION("""COMPUTED_VALUE"""),0)</f>
        <v>0</v>
      </c>
      <c r="N14" s="23">
        <f ca="1">IFERROR(__xludf.DUMMYFUNCTION("""COMPUTED_VALUE"""),0)</f>
        <v>0</v>
      </c>
      <c r="O14" s="23">
        <f ca="1">IFERROR(__xludf.DUMMYFUNCTION("""COMPUTED_VALUE"""),0)</f>
        <v>0</v>
      </c>
      <c r="P14" s="23">
        <f ca="1">IFERROR(__xludf.DUMMYFUNCTION("""COMPUTED_VALUE"""),0)</f>
        <v>0</v>
      </c>
      <c r="Q14" s="23">
        <f ca="1">IFERROR(__xludf.DUMMYFUNCTION("""COMPUTED_VALUE"""),0)</f>
        <v>0</v>
      </c>
      <c r="R14" s="23">
        <f ca="1">IFERROR(__xludf.DUMMYFUNCTION("""COMPUTED_VALUE"""),0)</f>
        <v>0</v>
      </c>
      <c r="S14" s="23">
        <f ca="1">IFERROR(__xludf.DUMMYFUNCTION("""COMPUTED_VALUE"""),0)</f>
        <v>0</v>
      </c>
    </row>
    <row r="15" spans="1:19">
      <c r="A15" s="23" t="str">
        <f ca="1">IFERROR(__xludf.DUMMYFUNCTION("""COMPUTED_VALUE"""),"CONSTANCIAS")</f>
        <v>CONSTANCIAS</v>
      </c>
      <c r="B15" s="23">
        <f ca="1">IFERROR(__xludf.DUMMYFUNCTION("""COMPUTED_VALUE"""),400)</f>
        <v>400</v>
      </c>
      <c r="C15" s="23" t="str">
        <f ca="1">IFERROR(__xludf.DUMMYFUNCTION("""COMPUTED_VALUE"""),"CONSTANCIAS")</f>
        <v>CONSTANCIAS</v>
      </c>
      <c r="D15" s="23" t="str">
        <f ca="1">IFERROR(__xludf.DUMMYFUNCTION("""COMPUTED_VALUE"""),"ASCENDENTE")</f>
        <v>ASCENDENTE</v>
      </c>
      <c r="E15" s="23" t="str">
        <f ca="1">IFERROR(__xludf.DUMMYFUNCTION("""COMPUTED_VALUE"""),"BITACORA OPERATIVA")</f>
        <v>BITACORA OPERATIVA</v>
      </c>
      <c r="F15" s="23">
        <f ca="1">IFERROR(__xludf.DUMMYFUNCTION("""COMPUTED_VALUE"""),0)</f>
        <v>0</v>
      </c>
      <c r="G15" s="23">
        <f ca="1">IFERROR(__xludf.DUMMYFUNCTION("""COMPUTED_VALUE"""),0)</f>
        <v>0</v>
      </c>
      <c r="H15" s="23">
        <f ca="1">IFERROR(__xludf.DUMMYFUNCTION("""COMPUTED_VALUE"""),0)</f>
        <v>0</v>
      </c>
      <c r="I15" s="23">
        <f ca="1">IFERROR(__xludf.DUMMYFUNCTION("""COMPUTED_VALUE"""),0)</f>
        <v>0</v>
      </c>
      <c r="J15" s="23">
        <f ca="1">IFERROR(__xludf.DUMMYFUNCTION("""COMPUTED_VALUE"""),0)</f>
        <v>0</v>
      </c>
      <c r="K15" s="23">
        <f ca="1">IFERROR(__xludf.DUMMYFUNCTION("""COMPUTED_VALUE"""),0)</f>
        <v>0</v>
      </c>
      <c r="L15" s="23">
        <f ca="1">IFERROR(__xludf.DUMMYFUNCTION("""COMPUTED_VALUE"""),0)</f>
        <v>0</v>
      </c>
      <c r="M15" s="23">
        <f ca="1">IFERROR(__xludf.DUMMYFUNCTION("""COMPUTED_VALUE"""),0)</f>
        <v>0</v>
      </c>
      <c r="N15" s="23">
        <f ca="1">IFERROR(__xludf.DUMMYFUNCTION("""COMPUTED_VALUE"""),0)</f>
        <v>0</v>
      </c>
      <c r="O15" s="23">
        <f ca="1">IFERROR(__xludf.DUMMYFUNCTION("""COMPUTED_VALUE"""),0)</f>
        <v>0</v>
      </c>
      <c r="P15" s="23">
        <f ca="1">IFERROR(__xludf.DUMMYFUNCTION("""COMPUTED_VALUE"""),0)</f>
        <v>0</v>
      </c>
      <c r="Q15" s="23">
        <f ca="1">IFERROR(__xludf.DUMMYFUNCTION("""COMPUTED_VALUE"""),0)</f>
        <v>0</v>
      </c>
      <c r="R15" s="23">
        <f ca="1">IFERROR(__xludf.DUMMYFUNCTION("""COMPUTED_VALUE"""),0)</f>
        <v>0</v>
      </c>
      <c r="S15" s="23">
        <f ca="1">IFERROR(__xludf.DUMMYFUNCTION("""COMPUTED_VALUE"""),0)</f>
        <v>0</v>
      </c>
    </row>
    <row r="16" spans="1:19">
      <c r="A16" s="23" t="str">
        <f ca="1">IFERROR(__xludf.DUMMYFUNCTION("""COMPUTED_VALUE"""),"EXPEDICION DE ACTAS")</f>
        <v>EXPEDICION DE ACTAS</v>
      </c>
      <c r="B16" s="23">
        <f ca="1">IFERROR(__xludf.DUMMYFUNCTION("""COMPUTED_VALUE"""),900)</f>
        <v>900</v>
      </c>
      <c r="C16" s="23" t="str">
        <f ca="1">IFERROR(__xludf.DUMMYFUNCTION("""COMPUTED_VALUE"""),"ACTAS EXPEDIDAS")</f>
        <v>ACTAS EXPEDIDAS</v>
      </c>
      <c r="D16" s="23" t="str">
        <f ca="1">IFERROR(__xludf.DUMMYFUNCTION("""COMPUTED_VALUE"""),"ASCENDENTE")</f>
        <v>ASCENDENTE</v>
      </c>
      <c r="E16" s="23" t="str">
        <f ca="1">IFERROR(__xludf.DUMMYFUNCTION("""COMPUTED_VALUE"""),"BITACORA OPERATIVA")</f>
        <v>BITACORA OPERATIVA</v>
      </c>
      <c r="F16" s="23">
        <f ca="1">IFERROR(__xludf.DUMMYFUNCTION("""COMPUTED_VALUE"""),0)</f>
        <v>0</v>
      </c>
      <c r="G16" s="23">
        <f ca="1">IFERROR(__xludf.DUMMYFUNCTION("""COMPUTED_VALUE"""),0)</f>
        <v>0</v>
      </c>
      <c r="H16" s="23">
        <f ca="1">IFERROR(__xludf.DUMMYFUNCTION("""COMPUTED_VALUE"""),0)</f>
        <v>0</v>
      </c>
      <c r="I16" s="23">
        <f ca="1">IFERROR(__xludf.DUMMYFUNCTION("""COMPUTED_VALUE"""),0)</f>
        <v>0</v>
      </c>
      <c r="J16" s="23">
        <f ca="1">IFERROR(__xludf.DUMMYFUNCTION("""COMPUTED_VALUE"""),0)</f>
        <v>0</v>
      </c>
      <c r="K16" s="23">
        <f ca="1">IFERROR(__xludf.DUMMYFUNCTION("""COMPUTED_VALUE"""),0)</f>
        <v>0</v>
      </c>
      <c r="L16" s="23">
        <f ca="1">IFERROR(__xludf.DUMMYFUNCTION("""COMPUTED_VALUE"""),0)</f>
        <v>0</v>
      </c>
      <c r="M16" s="23">
        <f ca="1">IFERROR(__xludf.DUMMYFUNCTION("""COMPUTED_VALUE"""),0)</f>
        <v>0</v>
      </c>
      <c r="N16" s="23">
        <f ca="1">IFERROR(__xludf.DUMMYFUNCTION("""COMPUTED_VALUE"""),0)</f>
        <v>0</v>
      </c>
      <c r="O16" s="23">
        <f ca="1">IFERROR(__xludf.DUMMYFUNCTION("""COMPUTED_VALUE"""),0)</f>
        <v>0</v>
      </c>
      <c r="P16" s="23">
        <f ca="1">IFERROR(__xludf.DUMMYFUNCTION("""COMPUTED_VALUE"""),0)</f>
        <v>0</v>
      </c>
      <c r="Q16" s="23">
        <f ca="1">IFERROR(__xludf.DUMMYFUNCTION("""COMPUTED_VALUE"""),0)</f>
        <v>0</v>
      </c>
      <c r="R16" s="23">
        <f ca="1">IFERROR(__xludf.DUMMYFUNCTION("""COMPUTED_VALUE"""),0)</f>
        <v>0</v>
      </c>
      <c r="S16" s="23">
        <f ca="1">IFERROR(__xludf.DUMMYFUNCTION("""COMPUTED_VALUE"""),0)</f>
        <v>0</v>
      </c>
    </row>
    <row r="17" spans="1:19">
      <c r="A17" s="23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</row>
    <row r="18" spans="1:19">
      <c r="A18" s="2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</row>
    <row r="19" spans="1:19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</row>
    <row r="20" spans="1:19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</row>
    <row r="21" spans="1:19">
      <c r="A21" s="23"/>
      <c r="B21" s="23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</row>
    <row r="22" spans="1:19">
      <c r="A22" s="23"/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</row>
    <row r="23" spans="1:19">
      <c r="A23" s="23"/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</row>
    <row r="24" spans="1:19">
      <c r="A24" s="23"/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</row>
    <row r="25" spans="1:19">
      <c r="A25" s="23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</row>
    <row r="26" spans="1:19">
      <c r="A26" s="23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</row>
    <row r="27" spans="1:19">
      <c r="A27" s="23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</row>
    <row r="28" spans="1:19">
      <c r="A28" s="23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</row>
    <row r="29" spans="1:19">
      <c r="A29" s="23"/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</row>
    <row r="30" spans="1:19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</row>
    <row r="31" spans="1:19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</row>
    <row r="32" spans="1:19">
      <c r="A32" s="23"/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</row>
    <row r="33" spans="1:19">
      <c r="A33" s="23"/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</row>
    <row r="34" spans="1:19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</row>
    <row r="35" spans="1:19">
      <c r="A35" s="23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</row>
    <row r="36" spans="1:19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</row>
    <row r="37" spans="1:19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</row>
    <row r="38" spans="1:19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</row>
    <row r="39" spans="1:19">
      <c r="A39" s="23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</row>
    <row r="41" spans="1:19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</row>
    <row r="42" spans="1:19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</row>
    <row r="43" spans="1:19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</row>
    <row r="44" spans="1:19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</row>
    <row r="45" spans="1:19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</row>
    <row r="46" spans="1:19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</row>
    <row r="47" spans="1:19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</row>
    <row r="48" spans="1:19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</row>
    <row r="49" spans="1:19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</row>
    <row r="50" spans="1:19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</row>
    <row r="51" spans="1:19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</row>
    <row r="52" spans="1:19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</row>
    <row r="53" spans="1:19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</row>
    <row r="54" spans="1:19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</row>
    <row r="55" spans="1:19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</row>
    <row r="56" spans="1:19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</row>
    <row r="57" spans="1:19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</row>
    <row r="58" spans="1:19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</row>
    <row r="59" spans="1:19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</row>
    <row r="60" spans="1:19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</row>
    <row r="61" spans="1:19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</row>
    <row r="62" spans="1:19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</row>
    <row r="63" spans="1:19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</row>
    <row r="64" spans="1:19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</row>
    <row r="65" spans="1:19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</row>
    <row r="66" spans="1:19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</row>
    <row r="67" spans="1:19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</row>
    <row r="68" spans="1:19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</row>
    <row r="69" spans="1:19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</row>
    <row r="70" spans="1:19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</row>
    <row r="71" spans="1:19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</row>
    <row r="72" spans="1:19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</row>
    <row r="73" spans="1:19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</row>
    <row r="74" spans="1:19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</row>
    <row r="75" spans="1:19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</row>
    <row r="76" spans="1:19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</row>
    <row r="77" spans="1:19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</row>
    <row r="78" spans="1:19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</row>
    <row r="79" spans="1:19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</row>
    <row r="80" spans="1:19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</row>
    <row r="81" spans="1:19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</row>
    <row r="82" spans="1:19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</row>
    <row r="83" spans="1:19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</row>
    <row r="84" spans="1:19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</row>
    <row r="85" spans="1:19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</row>
    <row r="86" spans="1:19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</row>
    <row r="87" spans="1:19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</row>
    <row r="88" spans="1:19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</row>
    <row r="89" spans="1:19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</row>
    <row r="90" spans="1:19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</row>
    <row r="91" spans="1:19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</row>
    <row r="92" spans="1:19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</row>
    <row r="93" spans="1:19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</row>
    <row r="94" spans="1:19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</row>
    <row r="95" spans="1:19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</row>
    <row r="96" spans="1:19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</row>
    <row r="97" spans="1:19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</row>
    <row r="98" spans="1:19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</row>
    <row r="99" spans="1:19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</row>
    <row r="100" spans="1:19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</row>
    <row r="101" spans="1:19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</row>
    <row r="102" spans="1:19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</row>
    <row r="103" spans="1:19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</row>
    <row r="104" spans="1:19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</row>
    <row r="105" spans="1:19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</row>
    <row r="106" spans="1:19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</row>
    <row r="107" spans="1:19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</row>
    <row r="108" spans="1:19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</row>
    <row r="109" spans="1:19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</row>
    <row r="110" spans="1:19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</row>
    <row r="111" spans="1:19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</row>
    <row r="112" spans="1:19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</row>
    <row r="113" spans="1:19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</row>
    <row r="114" spans="1:19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</row>
    <row r="115" spans="1:19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</row>
    <row r="116" spans="1:19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</row>
    <row r="117" spans="1:19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</row>
    <row r="118" spans="1:19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</row>
    <row r="119" spans="1:19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</row>
    <row r="120" spans="1:19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</row>
    <row r="121" spans="1:19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</row>
    <row r="122" spans="1:19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</row>
    <row r="123" spans="1:19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</row>
    <row r="124" spans="1:19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</row>
    <row r="125" spans="1:19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</row>
    <row r="126" spans="1:19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</row>
    <row r="127" spans="1:19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</row>
    <row r="128" spans="1:19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</row>
    <row r="129" spans="1:19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</row>
    <row r="130" spans="1:19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</row>
    <row r="131" spans="1:19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</row>
    <row r="132" spans="1:19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</row>
    <row r="133" spans="1:19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</row>
    <row r="134" spans="1:19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</row>
    <row r="135" spans="1:19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</row>
    <row r="136" spans="1:19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</row>
    <row r="137" spans="1:19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</row>
    <row r="138" spans="1:19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</row>
    <row r="139" spans="1:19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</row>
    <row r="140" spans="1:19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</row>
    <row r="141" spans="1:19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</row>
    <row r="142" spans="1:19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</row>
    <row r="143" spans="1:19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</row>
    <row r="144" spans="1:19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</row>
    <row r="145" spans="1:19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</row>
    <row r="146" spans="1:19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</row>
    <row r="147" spans="1:19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</row>
    <row r="148" spans="1:19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</row>
    <row r="149" spans="1:19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</row>
    <row r="150" spans="1:19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</row>
    <row r="151" spans="1:19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</row>
    <row r="152" spans="1:19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</row>
    <row r="153" spans="1:19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</row>
    <row r="154" spans="1:19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</row>
    <row r="155" spans="1:19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</row>
    <row r="156" spans="1:19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</row>
    <row r="157" spans="1:19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</row>
    <row r="158" spans="1:19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</row>
    <row r="159" spans="1:19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</row>
    <row r="160" spans="1:19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</row>
    <row r="161" spans="1:19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</row>
    <row r="162" spans="1:19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</row>
    <row r="163" spans="1:19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</row>
    <row r="164" spans="1:19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</row>
    <row r="165" spans="1:19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</row>
    <row r="166" spans="1:19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</row>
    <row r="167" spans="1:19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</row>
    <row r="168" spans="1:19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</row>
    <row r="169" spans="1:19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</row>
    <row r="170" spans="1:19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</row>
    <row r="171" spans="1:19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</row>
    <row r="172" spans="1:19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</row>
    <row r="173" spans="1:19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</row>
    <row r="174" spans="1:19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</row>
    <row r="175" spans="1:19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</row>
    <row r="176" spans="1:19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</row>
    <row r="177" spans="1:19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</row>
    <row r="178" spans="1:19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</row>
    <row r="179" spans="1:19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</row>
    <row r="180" spans="1:19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</row>
    <row r="181" spans="1:19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</row>
    <row r="182" spans="1:19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</row>
    <row r="183" spans="1:19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</row>
    <row r="184" spans="1:19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</row>
    <row r="185" spans="1:19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</row>
    <row r="186" spans="1:19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</row>
    <row r="187" spans="1:19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</row>
    <row r="188" spans="1:19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</row>
    <row r="189" spans="1:19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</row>
    <row r="190" spans="1:19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</row>
    <row r="191" spans="1:19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</row>
    <row r="192" spans="1:19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</row>
    <row r="193" spans="1:19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</row>
    <row r="194" spans="1:19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</row>
    <row r="195" spans="1:19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</row>
    <row r="196" spans="1:19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</row>
    <row r="197" spans="1:19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</row>
    <row r="198" spans="1:19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</row>
    <row r="199" spans="1:19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</row>
    <row r="200" spans="1:19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</row>
    <row r="201" spans="1:19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</row>
    <row r="202" spans="1:19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</row>
    <row r="203" spans="1:19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</row>
    <row r="204" spans="1:19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</row>
    <row r="205" spans="1:19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</row>
    <row r="206" spans="1:19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</row>
    <row r="207" spans="1:19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</row>
    <row r="208" spans="1:19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</row>
    <row r="209" spans="1:19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</row>
    <row r="210" spans="1:19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</row>
    <row r="211" spans="1:19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</row>
    <row r="212" spans="1:19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</row>
    <row r="213" spans="1:19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</row>
    <row r="214" spans="1:19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</row>
    <row r="215" spans="1:19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</row>
    <row r="216" spans="1:19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</row>
    <row r="217" spans="1:19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</row>
    <row r="218" spans="1:19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</row>
    <row r="219" spans="1:19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</row>
    <row r="220" spans="1:19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</row>
    <row r="221" spans="1:19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</row>
    <row r="222" spans="1:19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</row>
    <row r="223" spans="1:19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</row>
    <row r="224" spans="1:19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</row>
    <row r="225" spans="1:19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</row>
    <row r="226" spans="1:19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</row>
    <row r="227" spans="1:19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</row>
    <row r="228" spans="1:19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</row>
    <row r="229" spans="1:19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</row>
    <row r="230" spans="1:19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</row>
    <row r="231" spans="1:19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</row>
    <row r="232" spans="1:19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</row>
    <row r="233" spans="1:19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</row>
    <row r="234" spans="1:19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</row>
    <row r="235" spans="1:19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</row>
    <row r="236" spans="1:19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</row>
    <row r="237" spans="1:19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</row>
    <row r="238" spans="1:19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</row>
    <row r="239" spans="1:19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</row>
    <row r="240" spans="1:19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</row>
    <row r="241" spans="1:19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</row>
    <row r="242" spans="1:19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</row>
    <row r="243" spans="1:19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</row>
    <row r="244" spans="1:19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</row>
    <row r="245" spans="1:19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</row>
    <row r="246" spans="1:19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</row>
    <row r="247" spans="1:19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</row>
    <row r="248" spans="1:19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</row>
    <row r="249" spans="1:19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</row>
    <row r="250" spans="1:19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</row>
    <row r="251" spans="1:19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</row>
    <row r="252" spans="1:19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</row>
    <row r="253" spans="1:19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</row>
    <row r="254" spans="1:19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</row>
    <row r="255" spans="1:19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</row>
    <row r="256" spans="1:19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</row>
    <row r="257" spans="1:19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</row>
    <row r="258" spans="1:19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</row>
    <row r="259" spans="1:19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</row>
    <row r="260" spans="1:19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</row>
    <row r="261" spans="1:19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</row>
    <row r="262" spans="1:19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</row>
    <row r="263" spans="1:19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</row>
    <row r="264" spans="1:19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</row>
    <row r="265" spans="1:19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</row>
    <row r="266" spans="1:19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</row>
    <row r="267" spans="1:19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</row>
    <row r="268" spans="1:19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</row>
    <row r="269" spans="1:19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</row>
    <row r="270" spans="1:19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</row>
    <row r="271" spans="1:19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</row>
    <row r="272" spans="1:19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</row>
    <row r="273" spans="1:19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</row>
    <row r="274" spans="1:19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</row>
    <row r="275" spans="1:19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</row>
    <row r="276" spans="1:19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</row>
    <row r="277" spans="1:19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</row>
    <row r="278" spans="1:19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</row>
    <row r="279" spans="1:19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</row>
    <row r="280" spans="1:19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</row>
    <row r="281" spans="1:19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</row>
    <row r="282" spans="1:19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</row>
    <row r="283" spans="1:19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</row>
    <row r="284" spans="1:19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</row>
    <row r="285" spans="1:19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</row>
    <row r="286" spans="1:19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</row>
    <row r="287" spans="1:19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</row>
    <row r="288" spans="1:19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</row>
    <row r="289" spans="1:19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</row>
    <row r="290" spans="1:19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</row>
    <row r="291" spans="1:19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</row>
    <row r="292" spans="1:19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</row>
    <row r="293" spans="1:19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</row>
    <row r="294" spans="1:19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</row>
    <row r="295" spans="1:19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</row>
    <row r="296" spans="1:19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</row>
    <row r="297" spans="1:19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</row>
    <row r="298" spans="1:19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</row>
    <row r="299" spans="1:19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</row>
    <row r="300" spans="1:19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</row>
    <row r="301" spans="1:19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</row>
    <row r="302" spans="1:19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</row>
    <row r="303" spans="1:19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</row>
    <row r="304" spans="1:19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</row>
    <row r="305" spans="1:19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</row>
    <row r="306" spans="1:19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</row>
    <row r="307" spans="1:19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</row>
    <row r="308" spans="1:19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</row>
    <row r="309" spans="1:19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</row>
    <row r="310" spans="1:19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</row>
    <row r="311" spans="1:19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</row>
    <row r="312" spans="1:19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</row>
    <row r="313" spans="1:19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</row>
    <row r="314" spans="1:19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</row>
    <row r="315" spans="1:19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</row>
    <row r="316" spans="1:19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</row>
    <row r="317" spans="1:19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</row>
    <row r="318" spans="1:19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</row>
    <row r="319" spans="1:19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</row>
    <row r="320" spans="1:19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</row>
    <row r="321" spans="1:19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</row>
    <row r="322" spans="1:19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</row>
    <row r="323" spans="1:19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</row>
    <row r="324" spans="1:19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</row>
    <row r="325" spans="1:19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</row>
    <row r="326" spans="1:19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</row>
    <row r="327" spans="1:19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</row>
    <row r="328" spans="1:19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</row>
    <row r="329" spans="1:19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</row>
    <row r="330" spans="1:19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</row>
    <row r="331" spans="1:19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</row>
    <row r="332" spans="1:19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</row>
    <row r="333" spans="1:19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</row>
    <row r="334" spans="1:19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</row>
    <row r="335" spans="1:19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</row>
    <row r="336" spans="1:19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</row>
    <row r="337" spans="1:19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</row>
    <row r="338" spans="1:19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</row>
    <row r="339" spans="1:19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</row>
    <row r="340" spans="1:19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</row>
    <row r="341" spans="1:19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</row>
    <row r="342" spans="1:19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</row>
    <row r="343" spans="1:19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</row>
    <row r="344" spans="1:19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</row>
    <row r="345" spans="1:19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</row>
    <row r="346" spans="1:19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</row>
    <row r="347" spans="1:19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</row>
    <row r="348" spans="1:19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</row>
    <row r="349" spans="1:19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</row>
    <row r="350" spans="1:19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</row>
    <row r="351" spans="1:19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</row>
    <row r="352" spans="1:19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</row>
    <row r="353" spans="1:19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</row>
    <row r="354" spans="1:19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</row>
    <row r="355" spans="1:19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</row>
    <row r="356" spans="1:19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</row>
    <row r="357" spans="1:19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</row>
    <row r="358" spans="1:19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</row>
    <row r="359" spans="1:19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</row>
    <row r="360" spans="1:19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</row>
    <row r="361" spans="1:19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</row>
    <row r="362" spans="1:19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</row>
    <row r="363" spans="1:19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</row>
    <row r="364" spans="1:19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</row>
    <row r="365" spans="1:19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</row>
    <row r="366" spans="1:19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</row>
    <row r="367" spans="1:19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</row>
    <row r="368" spans="1:19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</row>
    <row r="369" spans="1:19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</row>
    <row r="370" spans="1:19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</row>
    <row r="371" spans="1:19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</row>
    <row r="372" spans="1:19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</row>
    <row r="373" spans="1:19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</row>
    <row r="374" spans="1:19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</row>
    <row r="375" spans="1:19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</row>
    <row r="376" spans="1:19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</row>
    <row r="377" spans="1:19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</row>
    <row r="378" spans="1:19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</row>
    <row r="379" spans="1:19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</row>
    <row r="380" spans="1:19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</row>
    <row r="381" spans="1:19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</row>
    <row r="382" spans="1:19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</row>
    <row r="383" spans="1:19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</row>
    <row r="384" spans="1:19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</row>
    <row r="385" spans="1:19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</row>
    <row r="386" spans="1:19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</row>
    <row r="387" spans="1:19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</row>
    <row r="388" spans="1:19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</row>
    <row r="389" spans="1:19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</row>
    <row r="390" spans="1:19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</row>
    <row r="391" spans="1:19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</row>
    <row r="392" spans="1:19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</row>
    <row r="393" spans="1:19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</row>
    <row r="394" spans="1:19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</row>
    <row r="395" spans="1:19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</row>
    <row r="396" spans="1:19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</row>
    <row r="397" spans="1:19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</row>
    <row r="398" spans="1:19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</row>
    <row r="399" spans="1:19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</row>
    <row r="400" spans="1:19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</row>
    <row r="401" spans="1:19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</row>
    <row r="402" spans="1:19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</row>
    <row r="403" spans="1:19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</row>
    <row r="404" spans="1:19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</row>
    <row r="405" spans="1:19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</row>
    <row r="406" spans="1:19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</row>
    <row r="407" spans="1:19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</row>
    <row r="408" spans="1:19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</row>
    <row r="409" spans="1:19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</row>
    <row r="410" spans="1:19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</row>
    <row r="411" spans="1:19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</row>
    <row r="412" spans="1:19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</row>
    <row r="413" spans="1:19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</row>
    <row r="414" spans="1:19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</row>
    <row r="415" spans="1:19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</row>
    <row r="416" spans="1:19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</row>
    <row r="417" spans="1:19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</row>
    <row r="418" spans="1:19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</row>
    <row r="419" spans="1:19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</row>
    <row r="420" spans="1:19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</row>
    <row r="421" spans="1:19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</row>
    <row r="422" spans="1:19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</row>
    <row r="423" spans="1:19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</row>
    <row r="424" spans="1:19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</row>
    <row r="425" spans="1:19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</row>
    <row r="426" spans="1:19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</row>
    <row r="427" spans="1:19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</row>
    <row r="428" spans="1:19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</row>
    <row r="429" spans="1:19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</row>
    <row r="430" spans="1:19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</row>
    <row r="431" spans="1:19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</row>
    <row r="432" spans="1:19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</row>
    <row r="433" spans="1:19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</row>
    <row r="434" spans="1:19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</row>
    <row r="435" spans="1:19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</row>
    <row r="436" spans="1:19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</row>
    <row r="437" spans="1:19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</row>
    <row r="438" spans="1:19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</row>
    <row r="439" spans="1:19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</row>
    <row r="440" spans="1:19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</row>
    <row r="441" spans="1:19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</row>
    <row r="442" spans="1:19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</row>
    <row r="443" spans="1:19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</row>
    <row r="444" spans="1:19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</row>
    <row r="445" spans="1:19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</row>
    <row r="446" spans="1:19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</row>
    <row r="447" spans="1:19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</row>
    <row r="448" spans="1:19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</row>
    <row r="449" spans="1:19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</row>
    <row r="450" spans="1:19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</row>
    <row r="451" spans="1:19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</row>
    <row r="452" spans="1:19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</row>
    <row r="453" spans="1:19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</row>
    <row r="454" spans="1:19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</row>
    <row r="455" spans="1:19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</row>
    <row r="456" spans="1:19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</row>
    <row r="457" spans="1:19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</row>
    <row r="458" spans="1:19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</row>
    <row r="459" spans="1:19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</row>
    <row r="460" spans="1:19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</row>
    <row r="461" spans="1:19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</row>
    <row r="462" spans="1:19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</row>
    <row r="463" spans="1:19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</row>
    <row r="464" spans="1:19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</row>
    <row r="465" spans="1:19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</row>
    <row r="466" spans="1:19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</row>
    <row r="467" spans="1:19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</row>
    <row r="468" spans="1:19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</row>
    <row r="469" spans="1:19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</row>
    <row r="470" spans="1:19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</row>
    <row r="471" spans="1:19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</row>
    <row r="472" spans="1:19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</row>
    <row r="473" spans="1:19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</row>
    <row r="474" spans="1:19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</row>
    <row r="475" spans="1:19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</row>
    <row r="476" spans="1:19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</row>
    <row r="477" spans="1:19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</row>
    <row r="478" spans="1:19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</row>
    <row r="479" spans="1:19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</row>
    <row r="480" spans="1:19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</row>
    <row r="481" spans="1:19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</row>
    <row r="482" spans="1:19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</row>
    <row r="483" spans="1:19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</row>
    <row r="484" spans="1:19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</row>
    <row r="485" spans="1:19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</row>
    <row r="486" spans="1:19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</row>
    <row r="487" spans="1:19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</row>
    <row r="488" spans="1:19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</row>
    <row r="489" spans="1:19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</row>
    <row r="490" spans="1:19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</row>
    <row r="491" spans="1:19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</row>
    <row r="492" spans="1:19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</row>
    <row r="493" spans="1:19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</row>
    <row r="494" spans="1:19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</row>
    <row r="495" spans="1:19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</row>
    <row r="496" spans="1:19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</row>
    <row r="497" spans="1:19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</row>
    <row r="498" spans="1:19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</row>
    <row r="499" spans="1:19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</row>
    <row r="500" spans="1:19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</row>
    <row r="501" spans="1:19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</row>
    <row r="502" spans="1:19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</row>
    <row r="503" spans="1:19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</row>
    <row r="504" spans="1:19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</row>
    <row r="505" spans="1:19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</row>
    <row r="506" spans="1:19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</row>
    <row r="507" spans="1:19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</row>
    <row r="508" spans="1:19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</row>
    <row r="509" spans="1:19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</row>
    <row r="510" spans="1:19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</row>
    <row r="511" spans="1:19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</row>
    <row r="512" spans="1:19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</row>
    <row r="513" spans="1:19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</row>
    <row r="514" spans="1:19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</row>
    <row r="515" spans="1:19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</row>
    <row r="516" spans="1:19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</row>
    <row r="517" spans="1:19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</row>
    <row r="518" spans="1:19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</row>
    <row r="519" spans="1:19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</row>
    <row r="520" spans="1:19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</row>
    <row r="521" spans="1:19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</row>
    <row r="522" spans="1:19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</row>
    <row r="523" spans="1:19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</row>
    <row r="524" spans="1:19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</row>
    <row r="525" spans="1:19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</row>
    <row r="526" spans="1:19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</row>
    <row r="527" spans="1:19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</row>
    <row r="528" spans="1:19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</row>
    <row r="529" spans="1:19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</row>
    <row r="530" spans="1:19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</row>
    <row r="531" spans="1:19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</row>
    <row r="532" spans="1:19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</row>
    <row r="533" spans="1:19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</row>
    <row r="534" spans="1:19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</row>
    <row r="535" spans="1:19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</row>
    <row r="536" spans="1:19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</row>
    <row r="537" spans="1:19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</row>
    <row r="538" spans="1:19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</row>
    <row r="539" spans="1:19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</row>
    <row r="540" spans="1:19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</row>
    <row r="541" spans="1:19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</row>
    <row r="542" spans="1:19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</row>
    <row r="543" spans="1:19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</row>
    <row r="544" spans="1:19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</row>
    <row r="545" spans="1:19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</row>
    <row r="546" spans="1:19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</row>
    <row r="547" spans="1:19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</row>
    <row r="548" spans="1:19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</row>
    <row r="549" spans="1:19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</row>
    <row r="550" spans="1:19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</row>
    <row r="551" spans="1:19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</row>
    <row r="552" spans="1:19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</row>
    <row r="553" spans="1:19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</row>
    <row r="554" spans="1:19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</row>
    <row r="555" spans="1:19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</row>
    <row r="556" spans="1:19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</row>
    <row r="557" spans="1:19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</row>
    <row r="558" spans="1:19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</row>
    <row r="559" spans="1:19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</row>
    <row r="560" spans="1:19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</row>
    <row r="561" spans="1:19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</row>
    <row r="562" spans="1:19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</row>
    <row r="563" spans="1:19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</row>
    <row r="564" spans="1:19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</row>
    <row r="565" spans="1:19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</row>
    <row r="566" spans="1:19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</row>
    <row r="567" spans="1:19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</row>
    <row r="568" spans="1:19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</row>
    <row r="569" spans="1:19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</row>
    <row r="570" spans="1:19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</row>
    <row r="571" spans="1:19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</row>
    <row r="572" spans="1:19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</row>
    <row r="573" spans="1:19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</row>
    <row r="574" spans="1:19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</row>
    <row r="575" spans="1:19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</row>
    <row r="576" spans="1:19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</row>
    <row r="577" spans="1:19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</row>
    <row r="578" spans="1:19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</row>
    <row r="579" spans="1:19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</row>
    <row r="580" spans="1:19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</row>
    <row r="581" spans="1:19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</row>
    <row r="582" spans="1:19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</row>
    <row r="583" spans="1:19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</row>
    <row r="584" spans="1:19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</row>
    <row r="585" spans="1:19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</row>
    <row r="586" spans="1:19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</row>
    <row r="587" spans="1:19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</row>
    <row r="588" spans="1:19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</row>
    <row r="589" spans="1:19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</row>
    <row r="590" spans="1:19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</row>
    <row r="591" spans="1:19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</row>
    <row r="592" spans="1:19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</row>
    <row r="593" spans="1:19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</row>
    <row r="594" spans="1:19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</row>
    <row r="595" spans="1:19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</row>
    <row r="596" spans="1:19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</row>
    <row r="597" spans="1:19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</row>
    <row r="598" spans="1:19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</row>
    <row r="599" spans="1:19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</row>
    <row r="600" spans="1:19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</row>
    <row r="601" spans="1:19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</row>
    <row r="602" spans="1:19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</row>
    <row r="603" spans="1:19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</row>
    <row r="604" spans="1:19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</row>
    <row r="605" spans="1:19">
      <c r="A605" s="23"/>
      <c r="B605" s="23"/>
      <c r="C605" s="23"/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</row>
    <row r="606" spans="1:19">
      <c r="A606" s="23"/>
      <c r="B606" s="23"/>
      <c r="C606" s="23"/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</row>
    <row r="607" spans="1:19">
      <c r="A607" s="23"/>
      <c r="B607" s="23"/>
      <c r="C607" s="23"/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</row>
    <row r="608" spans="1:19">
      <c r="A608" s="23"/>
      <c r="B608" s="23"/>
      <c r="C608" s="23"/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</row>
    <row r="609" spans="1:19">
      <c r="A609" s="23"/>
      <c r="B609" s="23"/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</row>
    <row r="610" spans="1:19">
      <c r="A610" s="23"/>
      <c r="B610" s="23"/>
      <c r="C610" s="23"/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</row>
    <row r="611" spans="1:19">
      <c r="A611" s="23"/>
      <c r="B611" s="23"/>
      <c r="C611" s="23"/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</row>
    <row r="612" spans="1:19">
      <c r="A612" s="23"/>
      <c r="B612" s="23"/>
      <c r="C612" s="23"/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</row>
    <row r="613" spans="1:19">
      <c r="A613" s="23"/>
      <c r="B613" s="23"/>
      <c r="C613" s="23"/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</row>
    <row r="614" spans="1:19">
      <c r="A614" s="23"/>
      <c r="B614" s="23"/>
      <c r="C614" s="23"/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</row>
    <row r="615" spans="1:19">
      <c r="A615" s="23"/>
      <c r="B615" s="23"/>
      <c r="C615" s="23"/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</row>
    <row r="616" spans="1:19">
      <c r="A616" s="23"/>
      <c r="B616" s="23"/>
      <c r="C616" s="23"/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</row>
    <row r="617" spans="1:19">
      <c r="A617" s="23"/>
      <c r="B617" s="23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</row>
    <row r="618" spans="1:19">
      <c r="A618" s="23"/>
      <c r="B618" s="23"/>
      <c r="C618" s="23"/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</row>
    <row r="619" spans="1:19">
      <c r="A619" s="23"/>
      <c r="B619" s="23"/>
      <c r="C619" s="23"/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</row>
    <row r="620" spans="1:19">
      <c r="A620" s="23"/>
      <c r="B620" s="23"/>
      <c r="C620" s="23"/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</row>
    <row r="621" spans="1:19">
      <c r="A621" s="23"/>
      <c r="B621" s="23"/>
      <c r="C621" s="23"/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</row>
    <row r="622" spans="1:19">
      <c r="A622" s="23"/>
      <c r="B622" s="23"/>
      <c r="C622" s="23"/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</row>
    <row r="623" spans="1:19">
      <c r="A623" s="23"/>
      <c r="B623" s="23"/>
      <c r="C623" s="23"/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</row>
    <row r="624" spans="1:19">
      <c r="A624" s="23"/>
      <c r="B624" s="23"/>
      <c r="C624" s="23"/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</row>
    <row r="625" spans="1:19">
      <c r="A625" s="23"/>
      <c r="B625" s="23"/>
      <c r="C625" s="23"/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</row>
    <row r="626" spans="1:19">
      <c r="A626" s="23"/>
      <c r="B626" s="23"/>
      <c r="C626" s="23"/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</row>
    <row r="627" spans="1:19">
      <c r="A627" s="23"/>
      <c r="B627" s="23"/>
      <c r="C627" s="23"/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</row>
    <row r="628" spans="1:19">
      <c r="A628" s="23"/>
      <c r="B628" s="23"/>
      <c r="C628" s="23"/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</row>
    <row r="629" spans="1:19">
      <c r="A629" s="23"/>
      <c r="B629" s="23"/>
      <c r="C629" s="23"/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</row>
    <row r="630" spans="1:19">
      <c r="A630" s="23"/>
      <c r="B630" s="23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</row>
    <row r="631" spans="1:19">
      <c r="A631" s="23"/>
      <c r="B631" s="23"/>
      <c r="C631" s="23"/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</row>
    <row r="632" spans="1:19">
      <c r="A632" s="23"/>
      <c r="B632" s="23"/>
      <c r="C632" s="23"/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</row>
    <row r="633" spans="1:19">
      <c r="A633" s="23"/>
      <c r="B633" s="23"/>
      <c r="C633" s="23"/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</row>
    <row r="634" spans="1:19">
      <c r="A634" s="23"/>
      <c r="B634" s="23"/>
      <c r="C634" s="23"/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</row>
    <row r="635" spans="1:19">
      <c r="A635" s="23"/>
      <c r="B635" s="23"/>
      <c r="C635" s="23"/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</row>
    <row r="636" spans="1:19">
      <c r="A636" s="23"/>
      <c r="B636" s="23"/>
      <c r="C636" s="23"/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</row>
    <row r="637" spans="1:19">
      <c r="A637" s="23"/>
      <c r="B637" s="23"/>
      <c r="C637" s="23"/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</row>
    <row r="638" spans="1:19">
      <c r="A638" s="23"/>
      <c r="B638" s="23"/>
      <c r="C638" s="23"/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</row>
    <row r="639" spans="1:19">
      <c r="A639" s="23"/>
      <c r="B639" s="23"/>
      <c r="C639" s="23"/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</row>
    <row r="640" spans="1:19">
      <c r="A640" s="23"/>
      <c r="B640" s="23"/>
      <c r="C640" s="23"/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</row>
    <row r="641" spans="1:19">
      <c r="A641" s="23"/>
      <c r="B641" s="23"/>
      <c r="C641" s="23"/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</row>
    <row r="642" spans="1:19">
      <c r="A642" s="23"/>
      <c r="B642" s="23"/>
      <c r="C642" s="23"/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</row>
    <row r="643" spans="1:19">
      <c r="A643" s="23"/>
      <c r="B643" s="23"/>
      <c r="C643" s="23"/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</row>
    <row r="644" spans="1:19">
      <c r="A644" s="23"/>
      <c r="B644" s="23"/>
      <c r="C644" s="23"/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</row>
    <row r="645" spans="1:19">
      <c r="A645" s="23"/>
      <c r="B645" s="23"/>
      <c r="C645" s="23"/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</row>
    <row r="646" spans="1:19">
      <c r="A646" s="23"/>
      <c r="B646" s="23"/>
      <c r="C646" s="23"/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</row>
    <row r="647" spans="1:19">
      <c r="A647" s="23"/>
      <c r="B647" s="23"/>
      <c r="C647" s="23"/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</row>
    <row r="648" spans="1:19">
      <c r="A648" s="23"/>
      <c r="B648" s="23"/>
      <c r="C648" s="23"/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</row>
    <row r="649" spans="1:19">
      <c r="A649" s="23"/>
      <c r="B649" s="23"/>
      <c r="C649" s="23"/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</row>
    <row r="650" spans="1:19">
      <c r="A650" s="23"/>
      <c r="B650" s="23"/>
      <c r="C650" s="23"/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</row>
    <row r="651" spans="1:19">
      <c r="A651" s="23"/>
      <c r="B651" s="23"/>
      <c r="C651" s="23"/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</row>
    <row r="652" spans="1:19">
      <c r="A652" s="23"/>
      <c r="B652" s="23"/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</row>
    <row r="653" spans="1:19">
      <c r="A653" s="23"/>
      <c r="B653" s="23"/>
      <c r="C653" s="23"/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</row>
    <row r="654" spans="1:19">
      <c r="A654" s="23"/>
      <c r="B654" s="23"/>
      <c r="C654" s="23"/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</row>
    <row r="655" spans="1:19">
      <c r="A655" s="23"/>
      <c r="B655" s="23"/>
      <c r="C655" s="23"/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</row>
    <row r="656" spans="1:19">
      <c r="A656" s="23"/>
      <c r="B656" s="23"/>
      <c r="C656" s="23"/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</row>
    <row r="657" spans="1:19">
      <c r="A657" s="23"/>
      <c r="B657" s="23"/>
      <c r="C657" s="23"/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</row>
    <row r="658" spans="1:19">
      <c r="A658" s="23"/>
      <c r="B658" s="23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</row>
    <row r="659" spans="1:19">
      <c r="A659" s="23"/>
      <c r="B659" s="23"/>
      <c r="C659" s="23"/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</row>
    <row r="660" spans="1:19">
      <c r="A660" s="23"/>
      <c r="B660" s="23"/>
      <c r="C660" s="23"/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</row>
    <row r="661" spans="1:19">
      <c r="A661" s="23"/>
      <c r="B661" s="23"/>
      <c r="C661" s="23"/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</row>
    <row r="662" spans="1:19">
      <c r="A662" s="23"/>
      <c r="B662" s="23"/>
      <c r="C662" s="23"/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</row>
    <row r="663" spans="1:19">
      <c r="A663" s="23"/>
      <c r="B663" s="23"/>
      <c r="C663" s="23"/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</row>
    <row r="664" spans="1:19">
      <c r="A664" s="23"/>
      <c r="B664" s="23"/>
      <c r="C664" s="23"/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</row>
    <row r="665" spans="1:19">
      <c r="A665" s="23"/>
      <c r="B665" s="23"/>
      <c r="C665" s="23"/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</row>
    <row r="666" spans="1:19">
      <c r="A666" s="23"/>
      <c r="B666" s="23"/>
      <c r="C666" s="23"/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</row>
    <row r="667" spans="1:19">
      <c r="A667" s="23"/>
      <c r="B667" s="23"/>
      <c r="C667" s="23"/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</row>
    <row r="668" spans="1:19">
      <c r="A668" s="23"/>
      <c r="B668" s="23"/>
      <c r="C668" s="23"/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</row>
    <row r="669" spans="1:19">
      <c r="A669" s="23"/>
      <c r="B669" s="23"/>
      <c r="C669" s="23"/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</row>
    <row r="670" spans="1:19">
      <c r="A670" s="23"/>
      <c r="B670" s="23"/>
      <c r="C670" s="23"/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</row>
    <row r="671" spans="1:19">
      <c r="A671" s="23"/>
      <c r="B671" s="23"/>
      <c r="C671" s="23"/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</row>
    <row r="672" spans="1:19">
      <c r="A672" s="23"/>
      <c r="B672" s="23"/>
      <c r="C672" s="23"/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</row>
    <row r="673" spans="1:19">
      <c r="A673" s="23"/>
      <c r="B673" s="23"/>
      <c r="C673" s="23"/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</row>
    <row r="674" spans="1:19">
      <c r="A674" s="23"/>
      <c r="B674" s="23"/>
      <c r="C674" s="23"/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</row>
    <row r="675" spans="1:19">
      <c r="A675" s="23"/>
      <c r="B675" s="23"/>
      <c r="C675" s="23"/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</row>
    <row r="676" spans="1:19">
      <c r="A676" s="23"/>
      <c r="B676" s="23"/>
      <c r="C676" s="23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</row>
    <row r="677" spans="1:19">
      <c r="A677" s="23"/>
      <c r="B677" s="23"/>
      <c r="C677" s="23"/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</row>
    <row r="678" spans="1:19">
      <c r="A678" s="23"/>
      <c r="B678" s="23"/>
      <c r="C678" s="23"/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</row>
    <row r="679" spans="1:19">
      <c r="A679" s="23"/>
      <c r="B679" s="23"/>
      <c r="C679" s="23"/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</row>
    <row r="680" spans="1:19">
      <c r="A680" s="23"/>
      <c r="B680" s="23"/>
      <c r="C680" s="23"/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</row>
    <row r="681" spans="1:19">
      <c r="A681" s="23"/>
      <c r="B681" s="23"/>
      <c r="C681" s="23"/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</row>
    <row r="682" spans="1:19">
      <c r="A682" s="23"/>
      <c r="B682" s="23"/>
      <c r="C682" s="23"/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</row>
    <row r="683" spans="1:19">
      <c r="A683" s="23"/>
      <c r="B683" s="23"/>
      <c r="C683" s="23"/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</row>
    <row r="684" spans="1:19">
      <c r="A684" s="23"/>
      <c r="B684" s="23"/>
      <c r="C684" s="23"/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</row>
    <row r="685" spans="1:19">
      <c r="A685" s="23"/>
      <c r="B685" s="23"/>
      <c r="C685" s="23"/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</row>
    <row r="686" spans="1:19">
      <c r="A686" s="23"/>
      <c r="B686" s="23"/>
      <c r="C686" s="23"/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</row>
    <row r="687" spans="1:19">
      <c r="A687" s="23"/>
      <c r="B687" s="23"/>
      <c r="C687" s="23"/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</row>
    <row r="688" spans="1:19">
      <c r="A688" s="23"/>
      <c r="B688" s="23"/>
      <c r="C688" s="23"/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</row>
    <row r="689" spans="1:19">
      <c r="A689" s="23"/>
      <c r="B689" s="23"/>
      <c r="C689" s="23"/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</row>
    <row r="690" spans="1:19">
      <c r="A690" s="23"/>
      <c r="B690" s="23"/>
      <c r="C690" s="23"/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</row>
    <row r="691" spans="1:19">
      <c r="A691" s="23"/>
      <c r="B691" s="23"/>
      <c r="C691" s="23"/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</row>
    <row r="692" spans="1:19">
      <c r="A692" s="23"/>
      <c r="B692" s="23"/>
      <c r="C692" s="23"/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</row>
    <row r="693" spans="1:19">
      <c r="A693" s="23"/>
      <c r="B693" s="23"/>
      <c r="C693" s="23"/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</row>
    <row r="694" spans="1:19">
      <c r="A694" s="23"/>
      <c r="B694" s="23"/>
      <c r="C694" s="23"/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</row>
    <row r="695" spans="1:19">
      <c r="A695" s="23"/>
      <c r="B695" s="23"/>
      <c r="C695" s="23"/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</row>
    <row r="696" spans="1:19">
      <c r="A696" s="23"/>
      <c r="B696" s="23"/>
      <c r="C696" s="23"/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</row>
    <row r="697" spans="1:19">
      <c r="A697" s="23"/>
      <c r="B697" s="23"/>
      <c r="C697" s="23"/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</row>
    <row r="698" spans="1:19">
      <c r="A698" s="23"/>
      <c r="B698" s="23"/>
      <c r="C698" s="23"/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</row>
    <row r="699" spans="1:19">
      <c r="A699" s="23"/>
      <c r="B699" s="23"/>
      <c r="C699" s="23"/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</row>
    <row r="700" spans="1:19">
      <c r="A700" s="23"/>
      <c r="B700" s="23"/>
      <c r="C700" s="23"/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</row>
    <row r="701" spans="1:19">
      <c r="A701" s="23"/>
      <c r="B701" s="23"/>
      <c r="C701" s="23"/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</row>
    <row r="702" spans="1:19">
      <c r="A702" s="23"/>
      <c r="B702" s="23"/>
      <c r="C702" s="23"/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</row>
    <row r="703" spans="1:19">
      <c r="A703" s="23"/>
      <c r="B703" s="23"/>
      <c r="C703" s="23"/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</row>
    <row r="704" spans="1:19">
      <c r="A704" s="23"/>
      <c r="B704" s="23"/>
      <c r="C704" s="23"/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</row>
    <row r="705" spans="1:19">
      <c r="A705" s="23"/>
      <c r="B705" s="23"/>
      <c r="C705" s="23"/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</row>
    <row r="706" spans="1:19">
      <c r="A706" s="23"/>
      <c r="B706" s="23"/>
      <c r="C706" s="23"/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</row>
    <row r="707" spans="1:19">
      <c r="A707" s="23"/>
      <c r="B707" s="23"/>
      <c r="C707" s="23"/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</row>
    <row r="708" spans="1:19">
      <c r="A708" s="23"/>
      <c r="B708" s="23"/>
      <c r="C708" s="23"/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</row>
    <row r="709" spans="1:19">
      <c r="A709" s="23"/>
      <c r="B709" s="23"/>
      <c r="C709" s="23"/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</row>
    <row r="710" spans="1:19">
      <c r="A710" s="23"/>
      <c r="B710" s="23"/>
      <c r="C710" s="23"/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</row>
    <row r="711" spans="1:19">
      <c r="A711" s="23"/>
      <c r="B711" s="23"/>
      <c r="C711" s="23"/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</row>
    <row r="712" spans="1:19">
      <c r="A712" s="23"/>
      <c r="B712" s="23"/>
      <c r="C712" s="23"/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</row>
    <row r="713" spans="1:19">
      <c r="A713" s="23"/>
      <c r="B713" s="23"/>
      <c r="C713" s="23"/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</row>
    <row r="714" spans="1:19">
      <c r="A714" s="23"/>
      <c r="B714" s="23"/>
      <c r="C714" s="23"/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</row>
    <row r="715" spans="1:19">
      <c r="A715" s="23"/>
      <c r="B715" s="23"/>
      <c r="C715" s="23"/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</row>
    <row r="716" spans="1:19">
      <c r="A716" s="23"/>
      <c r="B716" s="23"/>
      <c r="C716" s="23"/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</row>
    <row r="717" spans="1:19">
      <c r="A717" s="23"/>
      <c r="B717" s="23"/>
      <c r="C717" s="23"/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</row>
    <row r="718" spans="1:19">
      <c r="A718" s="23"/>
      <c r="B718" s="23"/>
      <c r="C718" s="23"/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</row>
    <row r="719" spans="1:19">
      <c r="A719" s="23"/>
      <c r="B719" s="23"/>
      <c r="C719" s="23"/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</row>
    <row r="720" spans="1:19">
      <c r="A720" s="23"/>
      <c r="B720" s="23"/>
      <c r="C720" s="23"/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</row>
    <row r="721" spans="1:19">
      <c r="A721" s="23"/>
      <c r="B721" s="23"/>
      <c r="C721" s="23"/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</row>
    <row r="722" spans="1:19">
      <c r="A722" s="23"/>
      <c r="B722" s="23"/>
      <c r="C722" s="23"/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</row>
    <row r="723" spans="1:19">
      <c r="A723" s="23"/>
      <c r="B723" s="23"/>
      <c r="C723" s="23"/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</row>
    <row r="724" spans="1:19">
      <c r="A724" s="23"/>
      <c r="B724" s="23"/>
      <c r="C724" s="23"/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</row>
    <row r="725" spans="1:19">
      <c r="A725" s="23"/>
      <c r="B725" s="23"/>
      <c r="C725" s="23"/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</row>
    <row r="726" spans="1:19">
      <c r="A726" s="23"/>
      <c r="B726" s="23"/>
      <c r="C726" s="23"/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</row>
    <row r="727" spans="1:19">
      <c r="A727" s="23"/>
      <c r="B727" s="23"/>
      <c r="C727" s="23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</row>
    <row r="728" spans="1:19">
      <c r="A728" s="23"/>
      <c r="B728" s="23"/>
      <c r="C728" s="23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</row>
    <row r="729" spans="1:19">
      <c r="A729" s="23"/>
      <c r="B729" s="23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</row>
    <row r="730" spans="1:19">
      <c r="A730" s="23"/>
      <c r="B730" s="23"/>
      <c r="C730" s="23"/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</row>
    <row r="731" spans="1:19">
      <c r="A731" s="23"/>
      <c r="B731" s="23"/>
      <c r="C731" s="23"/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</row>
    <row r="732" spans="1:19">
      <c r="A732" s="23"/>
      <c r="B732" s="23"/>
      <c r="C732" s="23"/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</row>
    <row r="733" spans="1:19">
      <c r="A733" s="23"/>
      <c r="B733" s="23"/>
      <c r="C733" s="23"/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</row>
    <row r="734" spans="1:19">
      <c r="A734" s="23"/>
      <c r="B734" s="23"/>
      <c r="C734" s="23"/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</row>
    <row r="735" spans="1:19">
      <c r="A735" s="23"/>
      <c r="B735" s="23"/>
      <c r="C735" s="23"/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</row>
    <row r="736" spans="1:19">
      <c r="A736" s="23"/>
      <c r="B736" s="23"/>
      <c r="C736" s="23"/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</row>
    <row r="737" spans="1:19">
      <c r="A737" s="23"/>
      <c r="B737" s="23"/>
      <c r="C737" s="23"/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</row>
    <row r="738" spans="1:19">
      <c r="A738" s="23"/>
      <c r="B738" s="23"/>
      <c r="C738" s="23"/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</row>
    <row r="739" spans="1:19">
      <c r="A739" s="23"/>
      <c r="B739" s="23"/>
      <c r="C739" s="23"/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</row>
    <row r="740" spans="1:19">
      <c r="A740" s="23"/>
      <c r="B740" s="23"/>
      <c r="C740" s="23"/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</row>
    <row r="741" spans="1:19">
      <c r="A741" s="23"/>
      <c r="B741" s="23"/>
      <c r="C741" s="23"/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</row>
    <row r="742" spans="1:19">
      <c r="A742" s="23"/>
      <c r="B742" s="23"/>
      <c r="C742" s="23"/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</row>
    <row r="743" spans="1:19">
      <c r="A743" s="23"/>
      <c r="B743" s="23"/>
      <c r="C743" s="23"/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</row>
    <row r="744" spans="1:19">
      <c r="A744" s="23"/>
      <c r="B744" s="23"/>
      <c r="C744" s="23"/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</row>
    <row r="745" spans="1:19">
      <c r="A745" s="23"/>
      <c r="B745" s="23"/>
      <c r="C745" s="23"/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</row>
    <row r="746" spans="1:19">
      <c r="A746" s="23"/>
      <c r="B746" s="23"/>
      <c r="C746" s="23"/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</row>
    <row r="747" spans="1:19">
      <c r="A747" s="23"/>
      <c r="B747" s="23"/>
      <c r="C747" s="23"/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</row>
    <row r="748" spans="1:19">
      <c r="A748" s="23"/>
      <c r="B748" s="23"/>
      <c r="C748" s="23"/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</row>
    <row r="749" spans="1:19">
      <c r="A749" s="23"/>
      <c r="B749" s="23"/>
      <c r="C749" s="23"/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</row>
    <row r="750" spans="1:19">
      <c r="A750" s="23"/>
      <c r="B750" s="23"/>
      <c r="C750" s="23"/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</row>
    <row r="751" spans="1:19">
      <c r="A751" s="23"/>
      <c r="B751" s="23"/>
      <c r="C751" s="23"/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</row>
    <row r="752" spans="1:19">
      <c r="A752" s="23"/>
      <c r="B752" s="23"/>
      <c r="C752" s="23"/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</row>
    <row r="753" spans="1:19">
      <c r="A753" s="23"/>
      <c r="B753" s="23"/>
      <c r="C753" s="23"/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</row>
    <row r="754" spans="1:19">
      <c r="A754" s="23"/>
      <c r="B754" s="23"/>
      <c r="C754" s="23"/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</row>
    <row r="755" spans="1:19">
      <c r="A755" s="23"/>
      <c r="B755" s="23"/>
      <c r="C755" s="23"/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</row>
    <row r="756" spans="1:19">
      <c r="A756" s="23"/>
      <c r="B756" s="23"/>
      <c r="C756" s="23"/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</row>
    <row r="757" spans="1:19">
      <c r="A757" s="23"/>
      <c r="B757" s="23"/>
      <c r="C757" s="23"/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</row>
    <row r="758" spans="1:19">
      <c r="A758" s="23"/>
      <c r="B758" s="23"/>
      <c r="C758" s="23"/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</row>
    <row r="759" spans="1:19">
      <c r="A759" s="23"/>
      <c r="B759" s="23"/>
      <c r="C759" s="23"/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</row>
    <row r="760" spans="1:19">
      <c r="A760" s="23"/>
      <c r="B760" s="23"/>
      <c r="C760" s="23"/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</row>
    <row r="761" spans="1:19">
      <c r="A761" s="23"/>
      <c r="B761" s="23"/>
      <c r="C761" s="23"/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</row>
    <row r="762" spans="1:19">
      <c r="A762" s="23"/>
      <c r="B762" s="23"/>
      <c r="C762" s="23"/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</row>
    <row r="763" spans="1:19">
      <c r="A763" s="23"/>
      <c r="B763" s="23"/>
      <c r="C763" s="23"/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</row>
    <row r="764" spans="1:19">
      <c r="A764" s="23"/>
      <c r="B764" s="23"/>
      <c r="C764" s="23"/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</row>
    <row r="765" spans="1:19">
      <c r="A765" s="23"/>
      <c r="B765" s="23"/>
      <c r="C765" s="23"/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</row>
    <row r="766" spans="1:19">
      <c r="A766" s="23"/>
      <c r="B766" s="23"/>
      <c r="C766" s="23"/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</row>
    <row r="767" spans="1:19">
      <c r="A767" s="23"/>
      <c r="B767" s="23"/>
      <c r="C767" s="23"/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</row>
    <row r="768" spans="1:19">
      <c r="A768" s="23"/>
      <c r="B768" s="23"/>
      <c r="C768" s="23"/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</row>
    <row r="769" spans="1:19">
      <c r="A769" s="23"/>
      <c r="B769" s="23"/>
      <c r="C769" s="23"/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</row>
    <row r="770" spans="1:19">
      <c r="A770" s="23"/>
      <c r="B770" s="23"/>
      <c r="C770" s="23"/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</row>
    <row r="771" spans="1:19">
      <c r="A771" s="23"/>
      <c r="B771" s="23"/>
      <c r="C771" s="23"/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</row>
    <row r="772" spans="1:19">
      <c r="A772" s="23"/>
      <c r="B772" s="23"/>
      <c r="C772" s="23"/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</row>
    <row r="773" spans="1:19">
      <c r="A773" s="23"/>
      <c r="B773" s="23"/>
      <c r="C773" s="23"/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</row>
    <row r="774" spans="1:19">
      <c r="A774" s="23"/>
      <c r="B774" s="23"/>
      <c r="C774" s="23"/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</row>
    <row r="775" spans="1:19">
      <c r="A775" s="23"/>
      <c r="B775" s="23"/>
      <c r="C775" s="23"/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</row>
    <row r="776" spans="1:19">
      <c r="A776" s="23"/>
      <c r="B776" s="23"/>
      <c r="C776" s="23"/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</row>
    <row r="777" spans="1:19">
      <c r="A777" s="23"/>
      <c r="B777" s="23"/>
      <c r="C777" s="23"/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</row>
    <row r="778" spans="1:19">
      <c r="A778" s="23"/>
      <c r="B778" s="23"/>
      <c r="C778" s="23"/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</row>
    <row r="779" spans="1:19">
      <c r="A779" s="23"/>
      <c r="B779" s="23"/>
      <c r="C779" s="23"/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</row>
    <row r="780" spans="1:19">
      <c r="A780" s="23"/>
      <c r="B780" s="23"/>
      <c r="C780" s="23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</row>
    <row r="781" spans="1:19">
      <c r="A781" s="23"/>
      <c r="B781" s="23"/>
      <c r="C781" s="23"/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</row>
    <row r="782" spans="1:19">
      <c r="A782" s="23"/>
      <c r="B782" s="23"/>
      <c r="C782" s="23"/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</row>
    <row r="783" spans="1:19">
      <c r="A783" s="23"/>
      <c r="B783" s="23"/>
      <c r="C783" s="23"/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</row>
    <row r="784" spans="1:19">
      <c r="A784" s="23"/>
      <c r="B784" s="23"/>
      <c r="C784" s="23"/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</row>
    <row r="785" spans="1:19">
      <c r="A785" s="23"/>
      <c r="B785" s="23"/>
      <c r="C785" s="23"/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</row>
    <row r="786" spans="1:19">
      <c r="A786" s="23"/>
      <c r="B786" s="23"/>
      <c r="C786" s="23"/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</row>
    <row r="787" spans="1:19">
      <c r="A787" s="23"/>
      <c r="B787" s="23"/>
      <c r="C787" s="23"/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</row>
    <row r="788" spans="1:19">
      <c r="A788" s="23"/>
      <c r="B788" s="23"/>
      <c r="C788" s="23"/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</row>
    <row r="789" spans="1:19">
      <c r="A789" s="23"/>
      <c r="B789" s="23"/>
      <c r="C789" s="23"/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</row>
    <row r="790" spans="1:19">
      <c r="A790" s="23"/>
      <c r="B790" s="23"/>
      <c r="C790" s="23"/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</row>
    <row r="791" spans="1:19">
      <c r="A791" s="23"/>
      <c r="B791" s="23"/>
      <c r="C791" s="23"/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</row>
    <row r="792" spans="1:19">
      <c r="A792" s="23"/>
      <c r="B792" s="23"/>
      <c r="C792" s="23"/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</row>
    <row r="793" spans="1:19">
      <c r="A793" s="23"/>
      <c r="B793" s="23"/>
      <c r="C793" s="23"/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</row>
    <row r="794" spans="1:19">
      <c r="A794" s="23"/>
      <c r="B794" s="23"/>
      <c r="C794" s="23"/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</row>
    <row r="795" spans="1:19">
      <c r="A795" s="23"/>
      <c r="B795" s="23"/>
      <c r="C795" s="23"/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</row>
    <row r="796" spans="1:19">
      <c r="A796" s="23"/>
      <c r="B796" s="23"/>
      <c r="C796" s="23"/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</row>
    <row r="797" spans="1:19">
      <c r="A797" s="23"/>
      <c r="B797" s="23"/>
      <c r="C797" s="23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</row>
    <row r="798" spans="1:19">
      <c r="A798" s="23"/>
      <c r="B798" s="23"/>
      <c r="C798" s="23"/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</row>
    <row r="799" spans="1:19">
      <c r="A799" s="23"/>
      <c r="B799" s="23"/>
      <c r="C799" s="23"/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</row>
    <row r="800" spans="1:19">
      <c r="A800" s="23"/>
      <c r="B800" s="23"/>
      <c r="C800" s="23"/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</row>
    <row r="801" spans="1:19">
      <c r="A801" s="23"/>
      <c r="B801" s="23"/>
      <c r="C801" s="23"/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</row>
    <row r="802" spans="1:19">
      <c r="A802" s="23"/>
      <c r="B802" s="23"/>
      <c r="C802" s="23"/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</row>
    <row r="803" spans="1:19">
      <c r="A803" s="23"/>
      <c r="B803" s="23"/>
      <c r="C803" s="23"/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</row>
    <row r="804" spans="1:19">
      <c r="A804" s="23"/>
      <c r="B804" s="23"/>
      <c r="C804" s="23"/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</row>
    <row r="805" spans="1:19">
      <c r="A805" s="23"/>
      <c r="B805" s="23"/>
      <c r="C805" s="23"/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</row>
    <row r="806" spans="1:19">
      <c r="A806" s="23"/>
      <c r="B806" s="23"/>
      <c r="C806" s="23"/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</row>
    <row r="807" spans="1:19">
      <c r="A807" s="23"/>
      <c r="B807" s="23"/>
      <c r="C807" s="23"/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</row>
    <row r="808" spans="1:19">
      <c r="A808" s="23"/>
      <c r="B808" s="23"/>
      <c r="C808" s="23"/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</row>
    <row r="809" spans="1:19">
      <c r="A809" s="23"/>
      <c r="B809" s="23"/>
      <c r="C809" s="23"/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</row>
    <row r="810" spans="1:19">
      <c r="A810" s="23"/>
      <c r="B810" s="23"/>
      <c r="C810" s="23"/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</row>
    <row r="811" spans="1:19">
      <c r="A811" s="23"/>
      <c r="B811" s="23"/>
      <c r="C811" s="23"/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</row>
    <row r="812" spans="1:19">
      <c r="A812" s="23"/>
      <c r="B812" s="23"/>
      <c r="C812" s="23"/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</row>
    <row r="813" spans="1:19">
      <c r="A813" s="23"/>
      <c r="B813" s="23"/>
      <c r="C813" s="23"/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</row>
    <row r="814" spans="1:19">
      <c r="A814" s="23"/>
      <c r="B814" s="23"/>
      <c r="C814" s="23"/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</row>
    <row r="815" spans="1:19">
      <c r="A815" s="23"/>
      <c r="B815" s="23"/>
      <c r="C815" s="23"/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</row>
    <row r="816" spans="1:19">
      <c r="A816" s="23"/>
      <c r="B816" s="23"/>
      <c r="C816" s="23"/>
      <c r="D816" s="23"/>
      <c r="E816" s="23"/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</row>
    <row r="817" spans="1:19">
      <c r="A817" s="23"/>
      <c r="B817" s="23"/>
      <c r="C817" s="23"/>
      <c r="D817" s="23"/>
      <c r="E817" s="23"/>
      <c r="F817" s="23"/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</row>
    <row r="818" spans="1:19">
      <c r="A818" s="23"/>
      <c r="B818" s="23"/>
      <c r="C818" s="23"/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</row>
    <row r="819" spans="1:19">
      <c r="A819" s="23"/>
      <c r="B819" s="23"/>
      <c r="C819" s="23"/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</row>
    <row r="820" spans="1:19">
      <c r="A820" s="23"/>
      <c r="B820" s="23"/>
      <c r="C820" s="23"/>
      <c r="D820" s="23"/>
      <c r="E820" s="23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</row>
    <row r="821" spans="1:19">
      <c r="A821" s="23"/>
      <c r="B821" s="23"/>
      <c r="C821" s="23"/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</row>
    <row r="822" spans="1:19">
      <c r="A822" s="23"/>
      <c r="B822" s="23"/>
      <c r="C822" s="23"/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</row>
    <row r="823" spans="1:19">
      <c r="A823" s="23"/>
      <c r="B823" s="23"/>
      <c r="C823" s="23"/>
      <c r="D823" s="23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</row>
    <row r="824" spans="1:19">
      <c r="A824" s="23"/>
      <c r="B824" s="23"/>
      <c r="C824" s="23"/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</row>
    <row r="825" spans="1:19">
      <c r="A825" s="23"/>
      <c r="B825" s="23"/>
      <c r="C825" s="23"/>
      <c r="D825" s="23"/>
      <c r="E825" s="23"/>
      <c r="F825" s="23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</row>
    <row r="826" spans="1:19">
      <c r="A826" s="23"/>
      <c r="B826" s="23"/>
      <c r="C826" s="23"/>
      <c r="D826" s="23"/>
      <c r="E826" s="23"/>
      <c r="F826" s="23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</row>
    <row r="827" spans="1:19">
      <c r="A827" s="23"/>
      <c r="B827" s="23"/>
      <c r="C827" s="23"/>
      <c r="D827" s="23"/>
      <c r="E827" s="23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</row>
    <row r="828" spans="1:19">
      <c r="A828" s="23"/>
      <c r="B828" s="23"/>
      <c r="C828" s="23"/>
      <c r="D828" s="23"/>
      <c r="E828" s="23"/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</row>
    <row r="829" spans="1:19">
      <c r="A829" s="23"/>
      <c r="B829" s="23"/>
      <c r="C829" s="23"/>
      <c r="D829" s="23"/>
      <c r="E829" s="23"/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</row>
    <row r="830" spans="1:19">
      <c r="A830" s="23"/>
      <c r="B830" s="23"/>
      <c r="C830" s="23"/>
      <c r="D830" s="23"/>
      <c r="E830" s="23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</row>
    <row r="831" spans="1:19">
      <c r="A831" s="23"/>
      <c r="B831" s="23"/>
      <c r="C831" s="23"/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</row>
    <row r="832" spans="1:19">
      <c r="A832" s="23"/>
      <c r="B832" s="23"/>
      <c r="C832" s="23"/>
      <c r="D832" s="23"/>
      <c r="E832" s="23"/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</row>
    <row r="833" spans="1:19">
      <c r="A833" s="23"/>
      <c r="B833" s="23"/>
      <c r="C833" s="23"/>
      <c r="D833" s="23"/>
      <c r="E833" s="23"/>
      <c r="F833" s="23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</row>
    <row r="834" spans="1:19">
      <c r="A834" s="23"/>
      <c r="B834" s="23"/>
      <c r="C834" s="23"/>
      <c r="D834" s="23"/>
      <c r="E834" s="23"/>
      <c r="F834" s="23"/>
      <c r="G834" s="23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</row>
    <row r="835" spans="1:19">
      <c r="A835" s="23"/>
      <c r="B835" s="23"/>
      <c r="C835" s="23"/>
      <c r="D835" s="23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</row>
    <row r="836" spans="1:19">
      <c r="A836" s="23"/>
      <c r="B836" s="23"/>
      <c r="C836" s="23"/>
      <c r="D836" s="23"/>
      <c r="E836" s="23"/>
      <c r="F836" s="23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</row>
    <row r="837" spans="1:19">
      <c r="A837" s="23"/>
      <c r="B837" s="23"/>
      <c r="C837" s="23"/>
      <c r="D837" s="23"/>
      <c r="E837" s="23"/>
      <c r="F837" s="23"/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</row>
    <row r="838" spans="1:19">
      <c r="A838" s="23"/>
      <c r="B838" s="23"/>
      <c r="C838" s="23"/>
      <c r="D838" s="23"/>
      <c r="E838" s="23"/>
      <c r="F838" s="23"/>
      <c r="G838" s="23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</row>
    <row r="839" spans="1:19">
      <c r="A839" s="23"/>
      <c r="B839" s="23"/>
      <c r="C839" s="23"/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</row>
    <row r="840" spans="1:19">
      <c r="A840" s="23"/>
      <c r="B840" s="23"/>
      <c r="C840" s="23"/>
      <c r="D840" s="23"/>
      <c r="E840" s="23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</row>
    <row r="841" spans="1:19">
      <c r="A841" s="23"/>
      <c r="B841" s="23"/>
      <c r="C841" s="23"/>
      <c r="D841" s="23"/>
      <c r="E841" s="23"/>
      <c r="F841" s="23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</row>
    <row r="842" spans="1:19">
      <c r="A842" s="23"/>
      <c r="B842" s="23"/>
      <c r="C842" s="23"/>
      <c r="D842" s="23"/>
      <c r="E842" s="23"/>
      <c r="F842" s="23"/>
      <c r="G842" s="23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</row>
    <row r="843" spans="1:19">
      <c r="A843" s="23"/>
      <c r="B843" s="23"/>
      <c r="C843" s="23"/>
      <c r="D843" s="23"/>
      <c r="E843" s="23"/>
      <c r="F843" s="23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</row>
    <row r="844" spans="1:19">
      <c r="A844" s="23"/>
      <c r="B844" s="23"/>
      <c r="C844" s="23"/>
      <c r="D844" s="23"/>
      <c r="E844" s="23"/>
      <c r="F844" s="23"/>
      <c r="G844" s="23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</row>
    <row r="845" spans="1:19">
      <c r="A845" s="23"/>
      <c r="B845" s="23"/>
      <c r="C845" s="23"/>
      <c r="D845" s="23"/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</row>
    <row r="846" spans="1:19">
      <c r="A846" s="23"/>
      <c r="B846" s="23"/>
      <c r="C846" s="23"/>
      <c r="D846" s="23"/>
      <c r="E846" s="23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</row>
    <row r="847" spans="1:19">
      <c r="A847" s="23"/>
      <c r="B847" s="23"/>
      <c r="C847" s="23"/>
      <c r="D847" s="23"/>
      <c r="E847" s="23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</row>
    <row r="848" spans="1:19">
      <c r="A848" s="23"/>
      <c r="B848" s="23"/>
      <c r="C848" s="23"/>
      <c r="D848" s="23"/>
      <c r="E848" s="23"/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</row>
    <row r="849" spans="1:19">
      <c r="A849" s="23"/>
      <c r="B849" s="23"/>
      <c r="C849" s="23"/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</row>
    <row r="850" spans="1:19">
      <c r="A850" s="23"/>
      <c r="B850" s="23"/>
      <c r="C850" s="23"/>
      <c r="D850" s="23"/>
      <c r="E850" s="23"/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</row>
    <row r="851" spans="1:19">
      <c r="A851" s="23"/>
      <c r="B851" s="23"/>
      <c r="C851" s="23"/>
      <c r="D851" s="23"/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</row>
    <row r="852" spans="1:19">
      <c r="A852" s="23"/>
      <c r="B852" s="23"/>
      <c r="C852" s="23"/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</row>
    <row r="853" spans="1:19">
      <c r="A853" s="23"/>
      <c r="B853" s="23"/>
      <c r="C853" s="23"/>
      <c r="D853" s="23"/>
      <c r="E853" s="23"/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</row>
    <row r="854" spans="1:19">
      <c r="A854" s="23"/>
      <c r="B854" s="23"/>
      <c r="C854" s="23"/>
      <c r="D854" s="23"/>
      <c r="E854" s="23"/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</row>
    <row r="855" spans="1:19">
      <c r="A855" s="23"/>
      <c r="B855" s="23"/>
      <c r="C855" s="23"/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</row>
    <row r="856" spans="1:19">
      <c r="A856" s="23"/>
      <c r="B856" s="23"/>
      <c r="C856" s="23"/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</row>
    <row r="857" spans="1:19">
      <c r="A857" s="23"/>
      <c r="B857" s="23"/>
      <c r="C857" s="23"/>
      <c r="D857" s="23"/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</row>
    <row r="858" spans="1:19">
      <c r="A858" s="23"/>
      <c r="B858" s="23"/>
      <c r="C858" s="23"/>
      <c r="D858" s="23"/>
      <c r="E858" s="23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</row>
    <row r="859" spans="1:19">
      <c r="A859" s="23"/>
      <c r="B859" s="23"/>
      <c r="C859" s="23"/>
      <c r="D859" s="23"/>
      <c r="E859" s="23"/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</row>
    <row r="860" spans="1:19">
      <c r="A860" s="23"/>
      <c r="B860" s="23"/>
      <c r="C860" s="23"/>
      <c r="D860" s="23"/>
      <c r="E860" s="23"/>
      <c r="F860" s="23"/>
      <c r="G860" s="23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</row>
    <row r="861" spans="1:19">
      <c r="A861" s="23"/>
      <c r="B861" s="23"/>
      <c r="C861" s="23"/>
      <c r="D861" s="23"/>
      <c r="E861" s="23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</row>
    <row r="862" spans="1:19">
      <c r="A862" s="23"/>
      <c r="B862" s="23"/>
      <c r="C862" s="23"/>
      <c r="D862" s="23"/>
      <c r="E862" s="23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</row>
    <row r="863" spans="1:19">
      <c r="A863" s="23"/>
      <c r="B863" s="23"/>
      <c r="C863" s="23"/>
      <c r="D863" s="23"/>
      <c r="E863" s="23"/>
      <c r="F863" s="23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</row>
    <row r="864" spans="1:19">
      <c r="A864" s="23"/>
      <c r="B864" s="23"/>
      <c r="C864" s="23"/>
      <c r="D864" s="23"/>
      <c r="E864" s="23"/>
      <c r="F864" s="23"/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</row>
    <row r="865" spans="1:19">
      <c r="A865" s="23"/>
      <c r="B865" s="23"/>
      <c r="C865" s="23"/>
      <c r="D865" s="23"/>
      <c r="E865" s="23"/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</row>
    <row r="866" spans="1:19">
      <c r="A866" s="23"/>
      <c r="B866" s="23"/>
      <c r="C866" s="23"/>
      <c r="D866" s="23"/>
      <c r="E866" s="23"/>
      <c r="F866" s="23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</row>
    <row r="867" spans="1:19">
      <c r="A867" s="23"/>
      <c r="B867" s="23"/>
      <c r="C867" s="23"/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</row>
    <row r="868" spans="1:19">
      <c r="A868" s="23"/>
      <c r="B868" s="23"/>
      <c r="C868" s="23"/>
      <c r="D868" s="23"/>
      <c r="E868" s="23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</row>
    <row r="869" spans="1:19">
      <c r="A869" s="23"/>
      <c r="B869" s="23"/>
      <c r="C869" s="23"/>
      <c r="D869" s="23"/>
      <c r="E869" s="23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</row>
    <row r="870" spans="1:19">
      <c r="A870" s="23"/>
      <c r="B870" s="23"/>
      <c r="C870" s="23"/>
      <c r="D870" s="23"/>
      <c r="E870" s="23"/>
      <c r="F870" s="23"/>
      <c r="G870" s="23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</row>
    <row r="871" spans="1:19">
      <c r="A871" s="23"/>
      <c r="B871" s="23"/>
      <c r="C871" s="23"/>
      <c r="D871" s="23"/>
      <c r="E871" s="23"/>
      <c r="F871" s="23"/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</row>
    <row r="872" spans="1:19">
      <c r="A872" s="23"/>
      <c r="B872" s="23"/>
      <c r="C872" s="23"/>
      <c r="D872" s="23"/>
      <c r="E872" s="23"/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</row>
    <row r="873" spans="1:19">
      <c r="A873" s="23"/>
      <c r="B873" s="23"/>
      <c r="C873" s="23"/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</row>
    <row r="874" spans="1:19">
      <c r="A874" s="23"/>
      <c r="B874" s="23"/>
      <c r="C874" s="23"/>
      <c r="D874" s="23"/>
      <c r="E874" s="23"/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</row>
    <row r="875" spans="1:19">
      <c r="A875" s="23"/>
      <c r="B875" s="23"/>
      <c r="C875" s="23"/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</row>
    <row r="876" spans="1:19">
      <c r="A876" s="23"/>
      <c r="B876" s="23"/>
      <c r="C876" s="23"/>
      <c r="D876" s="23"/>
      <c r="E876" s="23"/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</row>
    <row r="877" spans="1:19">
      <c r="A877" s="23"/>
      <c r="B877" s="23"/>
      <c r="C877" s="23"/>
      <c r="D877" s="23"/>
      <c r="E877" s="23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</row>
    <row r="878" spans="1:19">
      <c r="A878" s="23"/>
      <c r="B878" s="23"/>
      <c r="C878" s="23"/>
      <c r="D878" s="23"/>
      <c r="E878" s="23"/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</row>
    <row r="879" spans="1:19">
      <c r="A879" s="23"/>
      <c r="B879" s="23"/>
      <c r="C879" s="23"/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</row>
    <row r="880" spans="1:19">
      <c r="A880" s="23"/>
      <c r="B880" s="23"/>
      <c r="C880" s="23"/>
      <c r="D880" s="23"/>
      <c r="E880" s="23"/>
      <c r="F880" s="23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</row>
    <row r="881" spans="1:19">
      <c r="A881" s="23"/>
      <c r="B881" s="23"/>
      <c r="C881" s="23"/>
      <c r="D881" s="23"/>
      <c r="E881" s="23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</row>
    <row r="882" spans="1:19">
      <c r="A882" s="23"/>
      <c r="B882" s="23"/>
      <c r="C882" s="23"/>
      <c r="D882" s="23"/>
      <c r="E882" s="23"/>
      <c r="F882" s="23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</row>
    <row r="883" spans="1:19">
      <c r="A883" s="23"/>
      <c r="B883" s="23"/>
      <c r="C883" s="23"/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</row>
    <row r="884" spans="1:19">
      <c r="A884" s="23"/>
      <c r="B884" s="23"/>
      <c r="C884" s="23"/>
      <c r="D884" s="23"/>
      <c r="E884" s="23"/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</row>
    <row r="885" spans="1:19">
      <c r="A885" s="23"/>
      <c r="B885" s="23"/>
      <c r="C885" s="23"/>
      <c r="D885" s="23"/>
      <c r="E885" s="23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</row>
    <row r="886" spans="1:19">
      <c r="A886" s="23"/>
      <c r="B886" s="23"/>
      <c r="C886" s="23"/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</row>
    <row r="887" spans="1:19">
      <c r="A887" s="23"/>
      <c r="B887" s="23"/>
      <c r="C887" s="23"/>
      <c r="D887" s="23"/>
      <c r="E887" s="23"/>
      <c r="F887" s="23"/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</row>
    <row r="888" spans="1:19">
      <c r="A888" s="23"/>
      <c r="B888" s="23"/>
      <c r="C888" s="23"/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</row>
    <row r="889" spans="1:19">
      <c r="A889" s="23"/>
      <c r="B889" s="23"/>
      <c r="C889" s="23"/>
      <c r="D889" s="23"/>
      <c r="E889" s="23"/>
      <c r="F889" s="23"/>
      <c r="G889" s="23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</row>
    <row r="890" spans="1:19">
      <c r="A890" s="23"/>
      <c r="B890" s="23"/>
      <c r="C890" s="23"/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</row>
    <row r="891" spans="1:19">
      <c r="A891" s="23"/>
      <c r="B891" s="23"/>
      <c r="C891" s="23"/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</row>
    <row r="892" spans="1:19">
      <c r="A892" s="23"/>
      <c r="B892" s="23"/>
      <c r="C892" s="23"/>
      <c r="D892" s="23"/>
      <c r="E892" s="23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</row>
    <row r="893" spans="1:19">
      <c r="A893" s="23"/>
      <c r="B893" s="23"/>
      <c r="C893" s="23"/>
      <c r="D893" s="23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</row>
    <row r="894" spans="1:19">
      <c r="A894" s="23"/>
      <c r="B894" s="23"/>
      <c r="C894" s="23"/>
      <c r="D894" s="23"/>
      <c r="E894" s="23"/>
      <c r="F894" s="23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</row>
    <row r="895" spans="1:19">
      <c r="A895" s="23"/>
      <c r="B895" s="23"/>
      <c r="C895" s="23"/>
      <c r="D895" s="23"/>
      <c r="E895" s="23"/>
      <c r="F895" s="23"/>
      <c r="G895" s="23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</row>
    <row r="896" spans="1:19">
      <c r="A896" s="23"/>
      <c r="B896" s="23"/>
      <c r="C896" s="23"/>
      <c r="D896" s="23"/>
      <c r="E896" s="23"/>
      <c r="F896" s="23"/>
      <c r="G896" s="23"/>
      <c r="H896" s="23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</row>
    <row r="897" spans="1:19">
      <c r="A897" s="23"/>
      <c r="B897" s="23"/>
      <c r="C897" s="23"/>
      <c r="D897" s="23"/>
      <c r="E897" s="23"/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</row>
    <row r="898" spans="1:19">
      <c r="A898" s="23"/>
      <c r="B898" s="23"/>
      <c r="C898" s="23"/>
      <c r="D898" s="23"/>
      <c r="E898" s="23"/>
      <c r="F898" s="23"/>
      <c r="G898" s="23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</row>
    <row r="899" spans="1:19">
      <c r="A899" s="23"/>
      <c r="B899" s="23"/>
      <c r="C899" s="23"/>
      <c r="D899" s="23"/>
      <c r="E899" s="23"/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</row>
    <row r="900" spans="1:19">
      <c r="A900" s="23"/>
      <c r="B900" s="23"/>
      <c r="C900" s="23"/>
      <c r="D900" s="23"/>
      <c r="E900" s="23"/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</row>
    <row r="901" spans="1:19">
      <c r="A901" s="23"/>
      <c r="B901" s="23"/>
      <c r="C901" s="23"/>
      <c r="D901" s="23"/>
      <c r="E901" s="23"/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</row>
    <row r="902" spans="1:19">
      <c r="A902" s="23"/>
      <c r="B902" s="23"/>
      <c r="C902" s="23"/>
      <c r="D902" s="23"/>
      <c r="E902" s="23"/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</row>
    <row r="903" spans="1:19">
      <c r="A903" s="23"/>
      <c r="B903" s="23"/>
      <c r="C903" s="23"/>
      <c r="D903" s="23"/>
      <c r="E903" s="23"/>
      <c r="F903" s="23"/>
      <c r="G903" s="23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</row>
    <row r="904" spans="1:19">
      <c r="A904" s="23"/>
      <c r="B904" s="23"/>
      <c r="C904" s="23"/>
      <c r="D904" s="23"/>
      <c r="E904" s="23"/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</row>
    <row r="905" spans="1:19">
      <c r="A905" s="23"/>
      <c r="B905" s="23"/>
      <c r="C905" s="23"/>
      <c r="D905" s="23"/>
      <c r="E905" s="23"/>
      <c r="F905" s="23"/>
      <c r="G905" s="23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</row>
    <row r="906" spans="1:19">
      <c r="A906" s="23"/>
      <c r="B906" s="23"/>
      <c r="C906" s="23"/>
      <c r="D906" s="23"/>
      <c r="E906" s="23"/>
      <c r="F906" s="23"/>
      <c r="G906" s="23"/>
      <c r="H906" s="23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</row>
    <row r="907" spans="1:19">
      <c r="A907" s="23"/>
      <c r="B907" s="23"/>
      <c r="C907" s="23"/>
      <c r="D907" s="23"/>
      <c r="E907" s="23"/>
      <c r="F907" s="23"/>
      <c r="G907" s="23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</row>
    <row r="908" spans="1:19">
      <c r="A908" s="23"/>
      <c r="B908" s="23"/>
      <c r="C908" s="23"/>
      <c r="D908" s="23"/>
      <c r="E908" s="23"/>
      <c r="F908" s="23"/>
      <c r="G908" s="23"/>
      <c r="H908" s="23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</row>
    <row r="909" spans="1:19">
      <c r="A909" s="23"/>
      <c r="B909" s="23"/>
      <c r="C909" s="23"/>
      <c r="D909" s="23"/>
      <c r="E909" s="23"/>
      <c r="F909" s="23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</row>
    <row r="910" spans="1:19">
      <c r="A910" s="23"/>
      <c r="B910" s="23"/>
      <c r="C910" s="23"/>
      <c r="D910" s="23"/>
      <c r="E910" s="23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</row>
    <row r="911" spans="1:19">
      <c r="A911" s="23"/>
      <c r="B911" s="23"/>
      <c r="C911" s="23"/>
      <c r="D911" s="23"/>
      <c r="E911" s="23"/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</row>
    <row r="912" spans="1:19">
      <c r="A912" s="23"/>
      <c r="B912" s="23"/>
      <c r="C912" s="23"/>
      <c r="D912" s="23"/>
      <c r="E912" s="23"/>
      <c r="F912" s="23"/>
      <c r="G912" s="23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</row>
    <row r="913" spans="1:19">
      <c r="A913" s="23"/>
      <c r="B913" s="23"/>
      <c r="C913" s="23"/>
      <c r="D913" s="23"/>
      <c r="E913" s="23"/>
      <c r="F913" s="23"/>
      <c r="G913" s="23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</row>
    <row r="914" spans="1:19">
      <c r="A914" s="23"/>
      <c r="B914" s="23"/>
      <c r="C914" s="23"/>
      <c r="D914" s="23"/>
      <c r="E914" s="23"/>
      <c r="F914" s="23"/>
      <c r="G914" s="23"/>
      <c r="H914" s="23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</row>
    <row r="915" spans="1:19">
      <c r="A915" s="23"/>
      <c r="B915" s="23"/>
      <c r="C915" s="23"/>
      <c r="D915" s="23"/>
      <c r="E915" s="23"/>
      <c r="F915" s="23"/>
      <c r="G915" s="23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</row>
    <row r="916" spans="1:19">
      <c r="A916" s="23"/>
      <c r="B916" s="23"/>
      <c r="C916" s="23"/>
      <c r="D916" s="23"/>
      <c r="E916" s="23"/>
      <c r="F916" s="23"/>
      <c r="G916" s="23"/>
      <c r="H916" s="23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</row>
    <row r="917" spans="1:19">
      <c r="A917" s="23"/>
      <c r="B917" s="23"/>
      <c r="C917" s="23"/>
      <c r="D917" s="23"/>
      <c r="E917" s="23"/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</row>
    <row r="918" spans="1:19">
      <c r="A918" s="23"/>
      <c r="B918" s="23"/>
      <c r="C918" s="23"/>
      <c r="D918" s="23"/>
      <c r="E918" s="23"/>
      <c r="F918" s="23"/>
      <c r="G918" s="23"/>
      <c r="H918" s="23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</row>
    <row r="919" spans="1:19">
      <c r="A919" s="23"/>
      <c r="B919" s="23"/>
      <c r="C919" s="23"/>
      <c r="D919" s="23"/>
      <c r="E919" s="23"/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</row>
    <row r="920" spans="1:19">
      <c r="A920" s="23"/>
      <c r="B920" s="23"/>
      <c r="C920" s="23"/>
      <c r="D920" s="23"/>
      <c r="E920" s="23"/>
      <c r="F920" s="23"/>
      <c r="G920" s="23"/>
      <c r="H920" s="23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</row>
    <row r="921" spans="1:19">
      <c r="A921" s="23"/>
      <c r="B921" s="23"/>
      <c r="C921" s="23"/>
      <c r="D921" s="23"/>
      <c r="E921" s="23"/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</row>
    <row r="922" spans="1:19">
      <c r="A922" s="23"/>
      <c r="B922" s="23"/>
      <c r="C922" s="23"/>
      <c r="D922" s="23"/>
      <c r="E922" s="23"/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</row>
    <row r="923" spans="1:19">
      <c r="A923" s="23"/>
      <c r="B923" s="23"/>
      <c r="C923" s="23"/>
      <c r="D923" s="23"/>
      <c r="E923" s="23"/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</row>
    <row r="924" spans="1:19">
      <c r="A924" s="23"/>
      <c r="B924" s="23"/>
      <c r="C924" s="23"/>
      <c r="D924" s="23"/>
      <c r="E924" s="23"/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</row>
    <row r="925" spans="1:19">
      <c r="A925" s="23"/>
      <c r="B925" s="23"/>
      <c r="C925" s="23"/>
      <c r="D925" s="23"/>
      <c r="E925" s="23"/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</row>
    <row r="926" spans="1:19">
      <c r="A926" s="23"/>
      <c r="B926" s="23"/>
      <c r="C926" s="23"/>
      <c r="D926" s="23"/>
      <c r="E926" s="23"/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</row>
    <row r="927" spans="1:19">
      <c r="A927" s="23"/>
      <c r="B927" s="23"/>
      <c r="C927" s="23"/>
      <c r="D927" s="23"/>
      <c r="E927" s="23"/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</row>
    <row r="928" spans="1:19">
      <c r="A928" s="23"/>
      <c r="B928" s="23"/>
      <c r="C928" s="23"/>
      <c r="D928" s="23"/>
      <c r="E928" s="23"/>
      <c r="F928" s="23"/>
      <c r="G928" s="23"/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</row>
    <row r="929" spans="1:19">
      <c r="A929" s="23"/>
      <c r="B929" s="23"/>
      <c r="C929" s="23"/>
      <c r="D929" s="23"/>
      <c r="E929" s="23"/>
      <c r="F929" s="23"/>
      <c r="G929" s="23"/>
      <c r="H929" s="23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</row>
    <row r="930" spans="1:19">
      <c r="A930" s="23"/>
      <c r="B930" s="23"/>
      <c r="C930" s="23"/>
      <c r="D930" s="23"/>
      <c r="E930" s="23"/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</row>
    <row r="931" spans="1:19">
      <c r="A931" s="23"/>
      <c r="B931" s="23"/>
      <c r="C931" s="23"/>
      <c r="D931" s="23"/>
      <c r="E931" s="23"/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</row>
    <row r="932" spans="1:19">
      <c r="A932" s="23"/>
      <c r="B932" s="23"/>
      <c r="C932" s="23"/>
      <c r="D932" s="23"/>
      <c r="E932" s="23"/>
      <c r="F932" s="23"/>
      <c r="G932" s="23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</row>
    <row r="933" spans="1:19">
      <c r="A933" s="23"/>
      <c r="B933" s="23"/>
      <c r="C933" s="23"/>
      <c r="D933" s="23"/>
      <c r="E933" s="23"/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</row>
    <row r="934" spans="1:19">
      <c r="A934" s="23"/>
      <c r="B934" s="23"/>
      <c r="C934" s="23"/>
      <c r="D934" s="23"/>
      <c r="E934" s="23"/>
      <c r="F934" s="23"/>
      <c r="G934" s="23"/>
      <c r="H934" s="23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</row>
    <row r="935" spans="1:19">
      <c r="A935" s="23"/>
      <c r="B935" s="23"/>
      <c r="C935" s="23"/>
      <c r="D935" s="23"/>
      <c r="E935" s="23"/>
      <c r="F935" s="23"/>
      <c r="G935" s="23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</row>
    <row r="936" spans="1:19">
      <c r="A936" s="23"/>
      <c r="B936" s="23"/>
      <c r="C936" s="23"/>
      <c r="D936" s="23"/>
      <c r="E936" s="23"/>
      <c r="F936" s="23"/>
      <c r="G936" s="23"/>
      <c r="H936" s="23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</row>
    <row r="937" spans="1:19">
      <c r="A937" s="23"/>
      <c r="B937" s="23"/>
      <c r="C937" s="23"/>
      <c r="D937" s="23"/>
      <c r="E937" s="23"/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</row>
    <row r="938" spans="1:19">
      <c r="A938" s="23"/>
      <c r="B938" s="23"/>
      <c r="C938" s="23"/>
      <c r="D938" s="23"/>
      <c r="E938" s="23"/>
      <c r="F938" s="23"/>
      <c r="G938" s="23"/>
      <c r="H938" s="23"/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</row>
    <row r="939" spans="1:19">
      <c r="A939" s="23"/>
      <c r="B939" s="23"/>
      <c r="C939" s="23"/>
      <c r="D939" s="23"/>
      <c r="E939" s="23"/>
      <c r="F939" s="23"/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</row>
    <row r="940" spans="1:19">
      <c r="A940" s="23"/>
      <c r="B940" s="23"/>
      <c r="C940" s="23"/>
      <c r="D940" s="23"/>
      <c r="E940" s="23"/>
      <c r="F940" s="23"/>
      <c r="G940" s="23"/>
      <c r="H940" s="23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</row>
    <row r="941" spans="1:19">
      <c r="A941" s="23"/>
      <c r="B941" s="23"/>
      <c r="C941" s="23"/>
      <c r="D941" s="23"/>
      <c r="E941" s="23"/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</row>
    <row r="942" spans="1:19">
      <c r="A942" s="23"/>
      <c r="B942" s="23"/>
      <c r="C942" s="23"/>
      <c r="D942" s="23"/>
      <c r="E942" s="23"/>
      <c r="F942" s="23"/>
      <c r="G942" s="23"/>
      <c r="H942" s="23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</row>
    <row r="943" spans="1:19">
      <c r="A943" s="23"/>
      <c r="B943" s="23"/>
      <c r="C943" s="23"/>
      <c r="D943" s="23"/>
      <c r="E943" s="23"/>
      <c r="F943" s="23"/>
      <c r="G943" s="23"/>
      <c r="H943" s="23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</row>
    <row r="944" spans="1:19">
      <c r="A944" s="23"/>
      <c r="B944" s="23"/>
      <c r="C944" s="23"/>
      <c r="D944" s="23"/>
      <c r="E944" s="23"/>
      <c r="F944" s="23"/>
      <c r="G944" s="23"/>
      <c r="H944" s="23"/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</row>
    <row r="945" spans="1:19">
      <c r="A945" s="23"/>
      <c r="B945" s="23"/>
      <c r="C945" s="23"/>
      <c r="D945" s="23"/>
      <c r="E945" s="23"/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</row>
    <row r="946" spans="1:19">
      <c r="A946" s="23"/>
      <c r="B946" s="23"/>
      <c r="C946" s="23"/>
      <c r="D946" s="23"/>
      <c r="E946" s="23"/>
      <c r="F946" s="23"/>
      <c r="G946" s="23"/>
      <c r="H946" s="23"/>
      <c r="I946" s="23"/>
      <c r="J946" s="23"/>
      <c r="K946" s="23"/>
      <c r="L946" s="23"/>
      <c r="M946" s="23"/>
      <c r="N946" s="23"/>
      <c r="O946" s="23"/>
      <c r="P946" s="23"/>
      <c r="Q946" s="23"/>
      <c r="R946" s="23"/>
      <c r="S946" s="23"/>
    </row>
    <row r="947" spans="1:19">
      <c r="A947" s="23"/>
      <c r="B947" s="23"/>
      <c r="C947" s="23"/>
      <c r="D947" s="23"/>
      <c r="E947" s="23"/>
      <c r="F947" s="23"/>
      <c r="G947" s="23"/>
      <c r="H947" s="23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</row>
    <row r="948" spans="1:19">
      <c r="A948" s="23"/>
      <c r="B948" s="23"/>
      <c r="C948" s="23"/>
      <c r="D948" s="23"/>
      <c r="E948" s="23"/>
      <c r="F948" s="23"/>
      <c r="G948" s="23"/>
      <c r="H948" s="23"/>
      <c r="I948" s="23"/>
      <c r="J948" s="23"/>
      <c r="K948" s="23"/>
      <c r="L948" s="23"/>
      <c r="M948" s="23"/>
      <c r="N948" s="23"/>
      <c r="O948" s="23"/>
      <c r="P948" s="23"/>
      <c r="Q948" s="23"/>
      <c r="R948" s="23"/>
      <c r="S948" s="23"/>
    </row>
    <row r="949" spans="1:19">
      <c r="A949" s="23"/>
      <c r="B949" s="23"/>
      <c r="C949" s="23"/>
      <c r="D949" s="23"/>
      <c r="E949" s="23"/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</row>
    <row r="950" spans="1:19">
      <c r="A950" s="23"/>
      <c r="B950" s="23"/>
      <c r="C950" s="23"/>
      <c r="D950" s="23"/>
      <c r="E950" s="23"/>
      <c r="F950" s="23"/>
      <c r="G950" s="23"/>
      <c r="H950" s="23"/>
      <c r="I950" s="23"/>
      <c r="J950" s="23"/>
      <c r="K950" s="23"/>
      <c r="L950" s="23"/>
      <c r="M950" s="23"/>
      <c r="N950" s="23"/>
      <c r="O950" s="23"/>
      <c r="P950" s="23"/>
      <c r="Q950" s="23"/>
      <c r="R950" s="23"/>
      <c r="S950" s="23"/>
    </row>
    <row r="951" spans="1:19">
      <c r="A951" s="23"/>
      <c r="B951" s="23"/>
      <c r="C951" s="23"/>
      <c r="D951" s="23"/>
      <c r="E951" s="23"/>
      <c r="F951" s="23"/>
      <c r="G951" s="23"/>
      <c r="H951" s="23"/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</row>
    <row r="952" spans="1:19">
      <c r="A952" s="23"/>
      <c r="B952" s="23"/>
      <c r="C952" s="23"/>
      <c r="D952" s="23"/>
      <c r="E952" s="23"/>
      <c r="F952" s="23"/>
      <c r="G952" s="23"/>
      <c r="H952" s="23"/>
      <c r="I952" s="23"/>
      <c r="J952" s="23"/>
      <c r="K952" s="23"/>
      <c r="L952" s="23"/>
      <c r="M952" s="23"/>
      <c r="N952" s="23"/>
      <c r="O952" s="23"/>
      <c r="P952" s="23"/>
      <c r="Q952" s="23"/>
      <c r="R952" s="23"/>
      <c r="S952" s="23"/>
    </row>
    <row r="953" spans="1:19">
      <c r="A953" s="23"/>
      <c r="B953" s="23"/>
      <c r="C953" s="23"/>
      <c r="D953" s="23"/>
      <c r="E953" s="23"/>
      <c r="F953" s="23"/>
      <c r="G953" s="23"/>
      <c r="H953" s="23"/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</row>
    <row r="954" spans="1:19">
      <c r="A954" s="23"/>
      <c r="B954" s="23"/>
      <c r="C954" s="23"/>
      <c r="D954" s="23"/>
      <c r="E954" s="23"/>
      <c r="F954" s="23"/>
      <c r="G954" s="23"/>
      <c r="H954" s="23"/>
      <c r="I954" s="23"/>
      <c r="J954" s="23"/>
      <c r="K954" s="23"/>
      <c r="L954" s="23"/>
      <c r="M954" s="23"/>
      <c r="N954" s="23"/>
      <c r="O954" s="23"/>
      <c r="P954" s="23"/>
      <c r="Q954" s="23"/>
      <c r="R954" s="23"/>
      <c r="S954" s="23"/>
    </row>
    <row r="955" spans="1:19">
      <c r="A955" s="23"/>
      <c r="B955" s="23"/>
      <c r="C955" s="23"/>
      <c r="D955" s="23"/>
      <c r="E955" s="23"/>
      <c r="F955" s="23"/>
      <c r="G955" s="23"/>
      <c r="H955" s="23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</row>
    <row r="956" spans="1:19">
      <c r="A956" s="23"/>
      <c r="B956" s="23"/>
      <c r="C956" s="23"/>
      <c r="D956" s="23"/>
      <c r="E956" s="23"/>
      <c r="F956" s="23"/>
      <c r="G956" s="23"/>
      <c r="H956" s="23"/>
      <c r="I956" s="23"/>
      <c r="J956" s="23"/>
      <c r="K956" s="23"/>
      <c r="L956" s="23"/>
      <c r="M956" s="23"/>
      <c r="N956" s="23"/>
      <c r="O956" s="23"/>
      <c r="P956" s="23"/>
      <c r="Q956" s="23"/>
      <c r="R956" s="23"/>
      <c r="S956" s="23"/>
    </row>
    <row r="957" spans="1:19">
      <c r="A957" s="23"/>
      <c r="B957" s="23"/>
      <c r="C957" s="23"/>
      <c r="D957" s="23"/>
      <c r="E957" s="23"/>
      <c r="F957" s="23"/>
      <c r="G957" s="23"/>
      <c r="H957" s="23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</row>
    <row r="958" spans="1:19">
      <c r="A958" s="23"/>
      <c r="B958" s="23"/>
      <c r="C958" s="23"/>
      <c r="D958" s="23"/>
      <c r="E958" s="23"/>
      <c r="F958" s="23"/>
      <c r="G958" s="23"/>
      <c r="H958" s="23"/>
      <c r="I958" s="23"/>
      <c r="J958" s="23"/>
      <c r="K958" s="23"/>
      <c r="L958" s="23"/>
      <c r="M958" s="23"/>
      <c r="N958" s="23"/>
      <c r="O958" s="23"/>
      <c r="P958" s="23"/>
      <c r="Q958" s="23"/>
      <c r="R958" s="23"/>
      <c r="S958" s="23"/>
    </row>
    <row r="959" spans="1:19">
      <c r="A959" s="23"/>
      <c r="B959" s="23"/>
      <c r="C959" s="23"/>
      <c r="D959" s="23"/>
      <c r="E959" s="23"/>
      <c r="F959" s="23"/>
      <c r="G959" s="23"/>
      <c r="H959" s="23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</row>
    <row r="960" spans="1:19">
      <c r="A960" s="23"/>
      <c r="B960" s="23"/>
      <c r="C960" s="23"/>
      <c r="D960" s="23"/>
      <c r="E960" s="23"/>
      <c r="F960" s="23"/>
      <c r="G960" s="23"/>
      <c r="H960" s="23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</row>
    <row r="961" spans="1:19">
      <c r="A961" s="23"/>
      <c r="B961" s="23"/>
      <c r="C961" s="23"/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</row>
    <row r="962" spans="1:19">
      <c r="A962" s="23"/>
      <c r="B962" s="23"/>
      <c r="C962" s="23"/>
      <c r="D962" s="23"/>
      <c r="E962" s="23"/>
      <c r="F962" s="23"/>
      <c r="G962" s="23"/>
      <c r="H962" s="23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</row>
    <row r="963" spans="1:19">
      <c r="A963" s="23"/>
      <c r="B963" s="23"/>
      <c r="C963" s="23"/>
      <c r="D963" s="23"/>
      <c r="E963" s="23"/>
      <c r="F963" s="23"/>
      <c r="G963" s="23"/>
      <c r="H963" s="23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</row>
    <row r="964" spans="1:19">
      <c r="A964" s="23"/>
      <c r="B964" s="23"/>
      <c r="C964" s="23"/>
      <c r="D964" s="23"/>
      <c r="E964" s="23"/>
      <c r="F964" s="23"/>
      <c r="G964" s="23"/>
      <c r="H964" s="23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</row>
    <row r="965" spans="1:19">
      <c r="A965" s="23"/>
      <c r="B965" s="23"/>
      <c r="C965" s="23"/>
      <c r="D965" s="23"/>
      <c r="E965" s="23"/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</row>
    <row r="966" spans="1:19">
      <c r="A966" s="23"/>
      <c r="B966" s="23"/>
      <c r="C966" s="23"/>
      <c r="D966" s="23"/>
      <c r="E966" s="23"/>
      <c r="F966" s="23"/>
      <c r="G966" s="23"/>
      <c r="H966" s="23"/>
      <c r="I966" s="23"/>
      <c r="J966" s="23"/>
      <c r="K966" s="23"/>
      <c r="L966" s="23"/>
      <c r="M966" s="23"/>
      <c r="N966" s="23"/>
      <c r="O966" s="23"/>
      <c r="P966" s="23"/>
      <c r="Q966" s="23"/>
      <c r="R966" s="23"/>
      <c r="S966" s="23"/>
    </row>
    <row r="967" spans="1:19">
      <c r="A967" s="23"/>
      <c r="B967" s="23"/>
      <c r="C967" s="23"/>
      <c r="D967" s="23"/>
      <c r="E967" s="23"/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</row>
    <row r="968" spans="1:19">
      <c r="A968" s="23"/>
      <c r="B968" s="23"/>
      <c r="C968" s="23"/>
      <c r="D968" s="23"/>
      <c r="E968" s="23"/>
      <c r="F968" s="23"/>
      <c r="G968" s="23"/>
      <c r="H968" s="23"/>
      <c r="I968" s="23"/>
      <c r="J968" s="23"/>
      <c r="K968" s="23"/>
      <c r="L968" s="23"/>
      <c r="M968" s="23"/>
      <c r="N968" s="23"/>
      <c r="O968" s="23"/>
      <c r="P968" s="23"/>
      <c r="Q968" s="23"/>
      <c r="R968" s="23"/>
      <c r="S968" s="23"/>
    </row>
    <row r="969" spans="1:19">
      <c r="A969" s="23"/>
      <c r="B969" s="23"/>
      <c r="C969" s="23"/>
      <c r="D969" s="23"/>
      <c r="E969" s="23"/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</row>
    <row r="970" spans="1:19">
      <c r="A970" s="23"/>
      <c r="B970" s="23"/>
      <c r="C970" s="23"/>
      <c r="D970" s="23"/>
      <c r="E970" s="23"/>
      <c r="F970" s="23"/>
      <c r="G970" s="23"/>
      <c r="H970" s="23"/>
      <c r="I970" s="23"/>
      <c r="J970" s="23"/>
      <c r="K970" s="23"/>
      <c r="L970" s="23"/>
      <c r="M970" s="23"/>
      <c r="N970" s="23"/>
      <c r="O970" s="23"/>
      <c r="P970" s="23"/>
      <c r="Q970" s="23"/>
      <c r="R970" s="23"/>
      <c r="S970" s="23"/>
    </row>
    <row r="971" spans="1:19">
      <c r="A971" s="23"/>
      <c r="B971" s="23"/>
      <c r="C971" s="23"/>
      <c r="D971" s="23"/>
      <c r="E971" s="23"/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</row>
    <row r="972" spans="1:19">
      <c r="A972" s="23"/>
      <c r="B972" s="23"/>
      <c r="C972" s="23"/>
      <c r="D972" s="23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</row>
    <row r="973" spans="1:19">
      <c r="A973" s="23"/>
      <c r="B973" s="23"/>
      <c r="C973" s="23"/>
      <c r="D973" s="23"/>
      <c r="E973" s="23"/>
      <c r="F973" s="23"/>
      <c r="G973" s="23"/>
      <c r="H973" s="23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</row>
    <row r="974" spans="1:19">
      <c r="A974" s="23"/>
      <c r="B974" s="23"/>
      <c r="C974" s="23"/>
      <c r="D974" s="23"/>
      <c r="E974" s="23"/>
      <c r="F974" s="23"/>
      <c r="G974" s="23"/>
      <c r="H974" s="23"/>
      <c r="I974" s="23"/>
      <c r="J974" s="23"/>
      <c r="K974" s="23"/>
      <c r="L974" s="23"/>
      <c r="M974" s="23"/>
      <c r="N974" s="23"/>
      <c r="O974" s="23"/>
      <c r="P974" s="23"/>
      <c r="Q974" s="23"/>
      <c r="R974" s="23"/>
      <c r="S974" s="23"/>
    </row>
    <row r="975" spans="1:19">
      <c r="A975" s="23"/>
      <c r="B975" s="23"/>
      <c r="C975" s="23"/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</row>
    <row r="976" spans="1:19">
      <c r="A976" s="23"/>
      <c r="B976" s="23"/>
      <c r="C976" s="23"/>
      <c r="D976" s="23"/>
      <c r="E976" s="23"/>
      <c r="F976" s="23"/>
      <c r="G976" s="23"/>
      <c r="H976" s="23"/>
      <c r="I976" s="23"/>
      <c r="J976" s="23"/>
      <c r="K976" s="23"/>
      <c r="L976" s="23"/>
      <c r="M976" s="23"/>
      <c r="N976" s="23"/>
      <c r="O976" s="23"/>
      <c r="P976" s="23"/>
      <c r="Q976" s="23"/>
      <c r="R976" s="23"/>
      <c r="S976" s="23"/>
    </row>
    <row r="977" spans="1:19">
      <c r="A977" s="23"/>
      <c r="B977" s="23"/>
      <c r="C977" s="23"/>
      <c r="D977" s="23"/>
      <c r="E977" s="23"/>
      <c r="F977" s="23"/>
      <c r="G977" s="23"/>
      <c r="H977" s="23"/>
      <c r="I977" s="23"/>
      <c r="J977" s="23"/>
      <c r="K977" s="23"/>
      <c r="L977" s="23"/>
      <c r="M977" s="23"/>
      <c r="N977" s="23"/>
      <c r="O977" s="23"/>
      <c r="P977" s="23"/>
      <c r="Q977" s="23"/>
      <c r="R977" s="23"/>
      <c r="S977" s="23"/>
    </row>
    <row r="978" spans="1:19">
      <c r="A978" s="23"/>
      <c r="B978" s="23"/>
      <c r="C978" s="23"/>
      <c r="D978" s="23"/>
      <c r="E978" s="23"/>
      <c r="F978" s="23"/>
      <c r="G978" s="23"/>
      <c r="H978" s="23"/>
      <c r="I978" s="23"/>
      <c r="J978" s="23"/>
      <c r="K978" s="23"/>
      <c r="L978" s="23"/>
      <c r="M978" s="23"/>
      <c r="N978" s="23"/>
      <c r="O978" s="23"/>
      <c r="P978" s="23"/>
      <c r="Q978" s="23"/>
      <c r="R978" s="23"/>
      <c r="S978" s="23"/>
    </row>
    <row r="979" spans="1:19">
      <c r="A979" s="23"/>
      <c r="B979" s="23"/>
      <c r="C979" s="23"/>
      <c r="D979" s="23"/>
      <c r="E979" s="23"/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</row>
    <row r="980" spans="1:19">
      <c r="A980" s="23"/>
      <c r="B980" s="23"/>
      <c r="C980" s="23"/>
      <c r="D980" s="23"/>
      <c r="E980" s="23"/>
      <c r="F980" s="23"/>
      <c r="G980" s="23"/>
      <c r="H980" s="23"/>
      <c r="I980" s="23"/>
      <c r="J980" s="23"/>
      <c r="K980" s="23"/>
      <c r="L980" s="23"/>
      <c r="M980" s="23"/>
      <c r="N980" s="23"/>
      <c r="O980" s="23"/>
      <c r="P980" s="23"/>
      <c r="Q980" s="23"/>
      <c r="R980" s="23"/>
      <c r="S980" s="23"/>
    </row>
    <row r="981" spans="1:19">
      <c r="A981" s="23"/>
      <c r="B981" s="23"/>
      <c r="C981" s="23"/>
      <c r="D981" s="23"/>
      <c r="E981" s="23"/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</row>
    <row r="982" spans="1:19">
      <c r="A982" s="23"/>
      <c r="B982" s="23"/>
      <c r="C982" s="23"/>
      <c r="D982" s="23"/>
      <c r="E982" s="23"/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</row>
    <row r="983" spans="1:19">
      <c r="A983" s="23"/>
      <c r="B983" s="23"/>
      <c r="C983" s="23"/>
      <c r="D983" s="23"/>
      <c r="E983" s="23"/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</row>
    <row r="984" spans="1:19">
      <c r="A984" s="23"/>
      <c r="B984" s="23"/>
      <c r="C984" s="23"/>
      <c r="D984" s="23"/>
      <c r="E984" s="23"/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</row>
    <row r="985" spans="1:19">
      <c r="A985" s="23"/>
      <c r="B985" s="23"/>
      <c r="C985" s="23"/>
      <c r="D985" s="23"/>
      <c r="E985" s="23"/>
      <c r="F985" s="23"/>
      <c r="G985" s="23"/>
      <c r="H985" s="23"/>
      <c r="I985" s="23"/>
      <c r="J985" s="23"/>
      <c r="K985" s="23"/>
      <c r="L985" s="23"/>
      <c r="M985" s="23"/>
      <c r="N985" s="23"/>
      <c r="O985" s="23"/>
      <c r="P985" s="23"/>
      <c r="Q985" s="23"/>
      <c r="R985" s="23"/>
      <c r="S985" s="23"/>
    </row>
    <row r="986" spans="1:19">
      <c r="A986" s="23"/>
      <c r="B986" s="23"/>
      <c r="C986" s="23"/>
      <c r="D986" s="23"/>
      <c r="E986" s="23"/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23"/>
    </row>
    <row r="987" spans="1:19">
      <c r="A987" s="23"/>
      <c r="B987" s="23"/>
      <c r="C987" s="23"/>
      <c r="D987" s="23"/>
      <c r="E987" s="23"/>
      <c r="F987" s="23"/>
      <c r="G987" s="23"/>
      <c r="H987" s="23"/>
      <c r="I987" s="23"/>
      <c r="J987" s="23"/>
      <c r="K987" s="23"/>
      <c r="L987" s="23"/>
      <c r="M987" s="23"/>
      <c r="N987" s="23"/>
      <c r="O987" s="23"/>
      <c r="P987" s="23"/>
      <c r="Q987" s="23"/>
      <c r="R987" s="23"/>
      <c r="S987" s="23"/>
    </row>
    <row r="988" spans="1:19">
      <c r="A988" s="23"/>
      <c r="B988" s="23"/>
      <c r="C988" s="23"/>
      <c r="D988" s="23"/>
      <c r="E988" s="23"/>
      <c r="F988" s="23"/>
      <c r="G988" s="23"/>
      <c r="H988" s="23"/>
      <c r="I988" s="23"/>
      <c r="J988" s="23"/>
      <c r="K988" s="23"/>
      <c r="L988" s="23"/>
      <c r="M988" s="23"/>
      <c r="N988" s="23"/>
      <c r="O988" s="23"/>
      <c r="P988" s="23"/>
      <c r="Q988" s="23"/>
      <c r="R988" s="23"/>
      <c r="S988" s="23"/>
    </row>
    <row r="989" spans="1:19">
      <c r="A989" s="23"/>
      <c r="B989" s="23"/>
      <c r="C989" s="23"/>
      <c r="D989" s="23"/>
      <c r="E989" s="23"/>
      <c r="F989" s="23"/>
      <c r="G989" s="23"/>
      <c r="H989" s="23"/>
      <c r="I989" s="23"/>
      <c r="J989" s="23"/>
      <c r="K989" s="23"/>
      <c r="L989" s="23"/>
      <c r="M989" s="23"/>
      <c r="N989" s="23"/>
      <c r="O989" s="23"/>
      <c r="P989" s="23"/>
      <c r="Q989" s="23"/>
      <c r="R989" s="23"/>
      <c r="S989" s="23"/>
    </row>
    <row r="990" spans="1:19">
      <c r="A990" s="23"/>
      <c r="B990" s="23"/>
      <c r="C990" s="23"/>
      <c r="D990" s="23"/>
      <c r="E990" s="23"/>
      <c r="F990" s="23"/>
      <c r="G990" s="23"/>
      <c r="H990" s="23"/>
      <c r="I990" s="23"/>
      <c r="J990" s="23"/>
      <c r="K990" s="23"/>
      <c r="L990" s="23"/>
      <c r="M990" s="23"/>
      <c r="N990" s="23"/>
      <c r="O990" s="23"/>
      <c r="P990" s="23"/>
      <c r="Q990" s="23"/>
      <c r="R990" s="23"/>
      <c r="S990" s="23"/>
    </row>
    <row r="991" spans="1:19">
      <c r="A991" s="23"/>
      <c r="B991" s="23"/>
      <c r="C991" s="23"/>
      <c r="D991" s="23"/>
      <c r="E991" s="23"/>
      <c r="F991" s="23"/>
      <c r="G991" s="23"/>
      <c r="H991" s="23"/>
      <c r="I991" s="23"/>
      <c r="J991" s="23"/>
      <c r="K991" s="23"/>
      <c r="L991" s="23"/>
      <c r="M991" s="23"/>
      <c r="N991" s="23"/>
      <c r="O991" s="23"/>
      <c r="P991" s="23"/>
      <c r="Q991" s="23"/>
      <c r="R991" s="23"/>
      <c r="S991" s="23"/>
    </row>
    <row r="992" spans="1:19">
      <c r="A992" s="23"/>
      <c r="B992" s="23"/>
      <c r="C992" s="23"/>
      <c r="D992" s="23"/>
      <c r="E992" s="23"/>
      <c r="F992" s="23"/>
      <c r="G992" s="23"/>
      <c r="H992" s="23"/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</row>
    <row r="993" spans="1:19">
      <c r="A993" s="23"/>
      <c r="B993" s="23"/>
      <c r="C993" s="23"/>
      <c r="D993" s="23"/>
      <c r="E993" s="23"/>
      <c r="F993" s="23"/>
      <c r="G993" s="23"/>
      <c r="H993" s="23"/>
      <c r="I993" s="23"/>
      <c r="J993" s="23"/>
      <c r="K993" s="23"/>
      <c r="L993" s="23"/>
      <c r="M993" s="23"/>
      <c r="N993" s="23"/>
      <c r="O993" s="23"/>
      <c r="P993" s="23"/>
      <c r="Q993" s="23"/>
      <c r="R993" s="23"/>
      <c r="S993" s="23"/>
    </row>
    <row r="994" spans="1:19">
      <c r="A994" s="23"/>
      <c r="B994" s="23"/>
      <c r="C994" s="23"/>
      <c r="D994" s="23"/>
      <c r="E994" s="23"/>
      <c r="F994" s="23"/>
      <c r="G994" s="23"/>
      <c r="H994" s="23"/>
      <c r="I994" s="23"/>
      <c r="J994" s="23"/>
      <c r="K994" s="23"/>
      <c r="L994" s="23"/>
      <c r="M994" s="23"/>
      <c r="N994" s="23"/>
      <c r="O994" s="23"/>
      <c r="P994" s="23"/>
      <c r="Q994" s="23"/>
      <c r="R994" s="23"/>
      <c r="S994" s="23"/>
    </row>
    <row r="995" spans="1:19">
      <c r="A995" s="23"/>
      <c r="B995" s="23"/>
      <c r="C995" s="23"/>
      <c r="D995" s="23"/>
      <c r="E995" s="23"/>
      <c r="F995" s="23"/>
      <c r="G995" s="23"/>
      <c r="H995" s="23"/>
      <c r="I995" s="23"/>
      <c r="J995" s="23"/>
      <c r="K995" s="23"/>
      <c r="L995" s="23"/>
      <c r="M995" s="23"/>
      <c r="N995" s="23"/>
      <c r="O995" s="23"/>
      <c r="P995" s="23"/>
      <c r="Q995" s="23"/>
      <c r="R995" s="23"/>
      <c r="S995" s="23"/>
    </row>
    <row r="996" spans="1:19">
      <c r="A996" s="23"/>
      <c r="B996" s="23"/>
      <c r="C996" s="23"/>
      <c r="D996" s="23"/>
      <c r="E996" s="23"/>
      <c r="F996" s="23"/>
      <c r="G996" s="23"/>
      <c r="H996" s="23"/>
      <c r="I996" s="23"/>
      <c r="J996" s="23"/>
      <c r="K996" s="23"/>
      <c r="L996" s="23"/>
      <c r="M996" s="23"/>
      <c r="N996" s="23"/>
      <c r="O996" s="23"/>
      <c r="P996" s="23"/>
      <c r="Q996" s="23"/>
      <c r="R996" s="23"/>
      <c r="S996" s="23"/>
    </row>
    <row r="997" spans="1:19">
      <c r="A997" s="23"/>
      <c r="B997" s="23"/>
      <c r="C997" s="23"/>
      <c r="D997" s="23"/>
      <c r="E997" s="23"/>
      <c r="F997" s="23"/>
      <c r="G997" s="23"/>
      <c r="H997" s="23"/>
      <c r="I997" s="23"/>
      <c r="J997" s="23"/>
      <c r="K997" s="23"/>
      <c r="L997" s="23"/>
      <c r="M997" s="23"/>
      <c r="N997" s="23"/>
      <c r="O997" s="23"/>
      <c r="P997" s="23"/>
      <c r="Q997" s="23"/>
      <c r="R997" s="23"/>
      <c r="S997" s="23"/>
    </row>
    <row r="998" spans="1:19">
      <c r="A998" s="23"/>
      <c r="B998" s="23"/>
      <c r="C998" s="23"/>
      <c r="D998" s="23"/>
      <c r="E998" s="23"/>
      <c r="F998" s="23"/>
      <c r="G998" s="23"/>
      <c r="H998" s="23"/>
      <c r="I998" s="23"/>
      <c r="J998" s="23"/>
      <c r="K998" s="23"/>
      <c r="L998" s="23"/>
      <c r="M998" s="23"/>
      <c r="N998" s="23"/>
      <c r="O998" s="23"/>
      <c r="P998" s="23"/>
      <c r="Q998" s="23"/>
      <c r="R998" s="23"/>
      <c r="S998" s="23"/>
    </row>
    <row r="999" spans="1:19">
      <c r="A999" s="23"/>
      <c r="B999" s="23"/>
      <c r="C999" s="23"/>
      <c r="D999" s="23"/>
      <c r="E999" s="23"/>
      <c r="F999" s="23"/>
      <c r="G999" s="23"/>
      <c r="H999" s="23"/>
      <c r="I999" s="23"/>
      <c r="J999" s="23"/>
      <c r="K999" s="23"/>
      <c r="L999" s="23"/>
      <c r="M999" s="23"/>
      <c r="N999" s="23"/>
      <c r="O999" s="23"/>
      <c r="P999" s="23"/>
      <c r="Q999" s="23"/>
      <c r="R999" s="23"/>
      <c r="S999" s="23"/>
    </row>
    <row r="1000" spans="1:19">
      <c r="A1000" s="23"/>
      <c r="B1000" s="23"/>
      <c r="C1000" s="23"/>
      <c r="D1000" s="23"/>
      <c r="E1000" s="23"/>
      <c r="F1000" s="23"/>
      <c r="G1000" s="23"/>
      <c r="H1000" s="23"/>
      <c r="I1000" s="23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 summaryRight="0"/>
  </sheetPr>
  <dimension ref="A1:S1000"/>
  <sheetViews>
    <sheetView workbookViewId="0"/>
  </sheetViews>
  <sheetFormatPr baseColWidth="10" defaultColWidth="11.1640625" defaultRowHeight="15" customHeight="1"/>
  <sheetData>
    <row r="1" spans="1:19">
      <c r="A1" s="23" t="str">
        <f ca="1">IFERROR(__xludf.DUMMYFUNCTION("IMPORTRANGE(""https://docs.google.com/spreadsheets/d/1fs0169odc5rWV8MF1AWBHsYabKTF4Al9BYbjt6nj_j0/edit?gid=850428700#gid=850428700"",""01!A1:S"")"),"INDICADORES")</f>
        <v>INDICADORES</v>
      </c>
      <c r="B1" s="23" t="str">
        <f ca="1">IFERROR(__xludf.DUMMYFUNCTION("""COMPUTED_VALUE"""),"META ANUAL")</f>
        <v>META ANUAL</v>
      </c>
      <c r="C1" s="23" t="str">
        <f ca="1">IFERROR(__xludf.DUMMYFUNCTION("""COMPUTED_VALUE"""),"UNIDAD DE MEDIDA")</f>
        <v>UNIDAD DE MEDIDA</v>
      </c>
      <c r="D1" s="23" t="str">
        <f ca="1">IFERROR(__xludf.DUMMYFUNCTION("""COMPUTED_VALUE"""),"TIPO DE INDICADOR")</f>
        <v>TIPO DE INDICADOR</v>
      </c>
      <c r="E1" s="23" t="str">
        <f ca="1">IFERROR(__xludf.DUMMYFUNCTION("""COMPUTED_VALUE"""),"MEDIO DE VERIFICACION")</f>
        <v>MEDIO DE VERIFICACION</v>
      </c>
      <c r="F1" s="23" t="str">
        <f ca="1">IFERROR(__xludf.DUMMYFUNCTION("""COMPUTED_VALUE"""),"% AVANCE ")</f>
        <v xml:space="preserve">% AVANCE </v>
      </c>
      <c r="G1" s="23" t="str">
        <f ca="1">IFERROR(__xludf.DUMMYFUNCTION("""COMPUTED_VALUE"""),"OCTUBRE")</f>
        <v>OCTUBRE</v>
      </c>
      <c r="H1" s="23" t="str">
        <f ca="1">IFERROR(__xludf.DUMMYFUNCTION("""COMPUTED_VALUE"""),"NOVIEMBRE")</f>
        <v>NOVIEMBRE</v>
      </c>
      <c r="I1" s="23" t="str">
        <f ca="1">IFERROR(__xludf.DUMMYFUNCTION("""COMPUTED_VALUE"""),"DICIEMBRE")</f>
        <v>DICIEMBRE</v>
      </c>
      <c r="J1" s="23" t="str">
        <f ca="1">IFERROR(__xludf.DUMMYFUNCTION("""COMPUTED_VALUE"""),"ENERO ")</f>
        <v xml:space="preserve">ENERO </v>
      </c>
      <c r="K1" s="23" t="str">
        <f ca="1">IFERROR(__xludf.DUMMYFUNCTION("""COMPUTED_VALUE"""),"FEBRERO")</f>
        <v>FEBRERO</v>
      </c>
      <c r="L1" s="23" t="str">
        <f ca="1">IFERROR(__xludf.DUMMYFUNCTION("""COMPUTED_VALUE"""),"MARZO")</f>
        <v>MARZO</v>
      </c>
      <c r="M1" s="23" t="str">
        <f ca="1">IFERROR(__xludf.DUMMYFUNCTION("""COMPUTED_VALUE"""),"ABRIL")</f>
        <v>ABRIL</v>
      </c>
      <c r="N1" s="23" t="str">
        <f ca="1">IFERROR(__xludf.DUMMYFUNCTION("""COMPUTED_VALUE"""),"MAYO")</f>
        <v>MAYO</v>
      </c>
      <c r="O1" s="23" t="str">
        <f ca="1">IFERROR(__xludf.DUMMYFUNCTION("""COMPUTED_VALUE"""),"JUNIO")</f>
        <v>JUNIO</v>
      </c>
      <c r="P1" s="23" t="str">
        <f ca="1">IFERROR(__xludf.DUMMYFUNCTION("""COMPUTED_VALUE"""),"JULIO")</f>
        <v>JULIO</v>
      </c>
      <c r="Q1" s="23" t="str">
        <f ca="1">IFERROR(__xludf.DUMMYFUNCTION("""COMPUTED_VALUE"""),"AGOSTO")</f>
        <v>AGOSTO</v>
      </c>
      <c r="R1" s="23" t="str">
        <f ca="1">IFERROR(__xludf.DUMMYFUNCTION("""COMPUTED_VALUE"""),"SEPTIEMBRE")</f>
        <v>SEPTIEMBRE</v>
      </c>
      <c r="S1" s="23" t="str">
        <f ca="1">IFERROR(__xludf.DUMMYFUNCTION("""COMPUTED_VALUE"""),"SUMATORIA TOTAL")</f>
        <v>SUMATORIA TOTAL</v>
      </c>
    </row>
    <row r="2" spans="1:19">
      <c r="A2" s="23" t="str">
        <f ca="1">IFERROR(__xludf.DUMMYFUNCTION("""COMPUTED_VALUE"""),"M2 DE SEÑALAMIENTOS HORIZONTALES")</f>
        <v>M2 DE SEÑALAMIENTOS HORIZONTALES</v>
      </c>
      <c r="B2" s="23">
        <f ca="1">IFERROR(__xludf.DUMMYFUNCTION("""COMPUTED_VALUE"""),50)</f>
        <v>50</v>
      </c>
      <c r="C2" s="23" t="str">
        <f ca="1">IFERROR(__xludf.DUMMYFUNCTION("""COMPUTED_VALUE"""),"M2 INTERVENIDOS")</f>
        <v>M2 INTERVENIDOS</v>
      </c>
      <c r="D2" s="23" t="str">
        <f ca="1">IFERROR(__xludf.DUMMYFUNCTION("""COMPUTED_VALUE"""),"ASCENDENTE")</f>
        <v>ASCENDENTE</v>
      </c>
      <c r="E2" s="23" t="str">
        <f ca="1">IFERROR(__xludf.DUMMYFUNCTION("""COMPUTED_VALUE"""),"BITACORA OPERATIVA")</f>
        <v>BITACORA OPERATIVA</v>
      </c>
      <c r="F2" s="23">
        <f ca="1">IFERROR(__xludf.DUMMYFUNCTION("""COMPUTED_VALUE"""),0)</f>
        <v>0</v>
      </c>
      <c r="G2" s="23">
        <f ca="1">IFERROR(__xludf.DUMMYFUNCTION("""COMPUTED_VALUE"""),0)</f>
        <v>0</v>
      </c>
      <c r="H2" s="23">
        <f ca="1">IFERROR(__xludf.DUMMYFUNCTION("""COMPUTED_VALUE"""),0)</f>
        <v>0</v>
      </c>
      <c r="I2" s="23">
        <f ca="1">IFERROR(__xludf.DUMMYFUNCTION("""COMPUTED_VALUE"""),0)</f>
        <v>0</v>
      </c>
      <c r="J2" s="23">
        <f ca="1">IFERROR(__xludf.DUMMYFUNCTION("""COMPUTED_VALUE"""),0)</f>
        <v>0</v>
      </c>
      <c r="K2" s="23">
        <f ca="1">IFERROR(__xludf.DUMMYFUNCTION("""COMPUTED_VALUE"""),0)</f>
        <v>0</v>
      </c>
      <c r="L2" s="23">
        <f ca="1">IFERROR(__xludf.DUMMYFUNCTION("""COMPUTED_VALUE"""),0)</f>
        <v>0</v>
      </c>
      <c r="M2" s="23">
        <f ca="1">IFERROR(__xludf.DUMMYFUNCTION("""COMPUTED_VALUE"""),0)</f>
        <v>0</v>
      </c>
      <c r="N2" s="23">
        <f ca="1">IFERROR(__xludf.DUMMYFUNCTION("""COMPUTED_VALUE"""),0)</f>
        <v>0</v>
      </c>
      <c r="O2" s="23">
        <f ca="1">IFERROR(__xludf.DUMMYFUNCTION("""COMPUTED_VALUE"""),0)</f>
        <v>0</v>
      </c>
      <c r="P2" s="23">
        <f ca="1">IFERROR(__xludf.DUMMYFUNCTION("""COMPUTED_VALUE"""),0)</f>
        <v>0</v>
      </c>
      <c r="Q2" s="23">
        <f ca="1">IFERROR(__xludf.DUMMYFUNCTION("""COMPUTED_VALUE"""),0)</f>
        <v>0</v>
      </c>
      <c r="R2" s="23">
        <f ca="1">IFERROR(__xludf.DUMMYFUNCTION("""COMPUTED_VALUE"""),0)</f>
        <v>0</v>
      </c>
      <c r="S2" s="23">
        <f ca="1">IFERROR(__xludf.DUMMYFUNCTION("""COMPUTED_VALUE"""),0)</f>
        <v>0</v>
      </c>
    </row>
    <row r="3" spans="1:19">
      <c r="A3" s="23" t="str">
        <f ca="1">IFERROR(__xludf.DUMMYFUNCTION("""COMPUTED_VALUE"""),"NUMERO DE SEÑALAMIENTOS VERTICALES")</f>
        <v>NUMERO DE SEÑALAMIENTOS VERTICALES</v>
      </c>
      <c r="B3" s="23">
        <f ca="1">IFERROR(__xludf.DUMMYFUNCTION("""COMPUTED_VALUE"""),1200)</f>
        <v>1200</v>
      </c>
      <c r="C3" s="23" t="str">
        <f ca="1">IFERROR(__xludf.DUMMYFUNCTION("""COMPUTED_VALUE"""),"PIEZAS INSTALADAS")</f>
        <v>PIEZAS INSTALADAS</v>
      </c>
      <c r="D3" s="23" t="str">
        <f ca="1">IFERROR(__xludf.DUMMYFUNCTION("""COMPUTED_VALUE"""),"ASCENDENTE")</f>
        <v>ASCENDENTE</v>
      </c>
      <c r="E3" s="23" t="str">
        <f ca="1">IFERROR(__xludf.DUMMYFUNCTION("""COMPUTED_VALUE"""),"BITACORA OPERATIVA")</f>
        <v>BITACORA OPERATIVA</v>
      </c>
      <c r="F3" s="23">
        <f ca="1">IFERROR(__xludf.DUMMYFUNCTION("""COMPUTED_VALUE"""),0)</f>
        <v>0</v>
      </c>
      <c r="G3" s="23">
        <f ca="1">IFERROR(__xludf.DUMMYFUNCTION("""COMPUTED_VALUE"""),0)</f>
        <v>0</v>
      </c>
      <c r="H3" s="23">
        <f ca="1">IFERROR(__xludf.DUMMYFUNCTION("""COMPUTED_VALUE"""),0)</f>
        <v>0</v>
      </c>
      <c r="I3" s="23">
        <f ca="1">IFERROR(__xludf.DUMMYFUNCTION("""COMPUTED_VALUE"""),0)</f>
        <v>0</v>
      </c>
      <c r="J3" s="23">
        <f ca="1">IFERROR(__xludf.DUMMYFUNCTION("""COMPUTED_VALUE"""),0)</f>
        <v>0</v>
      </c>
      <c r="K3" s="23">
        <f ca="1">IFERROR(__xludf.DUMMYFUNCTION("""COMPUTED_VALUE"""),0)</f>
        <v>0</v>
      </c>
      <c r="L3" s="23">
        <f ca="1">IFERROR(__xludf.DUMMYFUNCTION("""COMPUTED_VALUE"""),0)</f>
        <v>0</v>
      </c>
      <c r="M3" s="23">
        <f ca="1">IFERROR(__xludf.DUMMYFUNCTION("""COMPUTED_VALUE"""),0)</f>
        <v>0</v>
      </c>
      <c r="N3" s="23">
        <f ca="1">IFERROR(__xludf.DUMMYFUNCTION("""COMPUTED_VALUE"""),0)</f>
        <v>0</v>
      </c>
      <c r="O3" s="23">
        <f ca="1">IFERROR(__xludf.DUMMYFUNCTION("""COMPUTED_VALUE"""),0)</f>
        <v>0</v>
      </c>
      <c r="P3" s="23">
        <f ca="1">IFERROR(__xludf.DUMMYFUNCTION("""COMPUTED_VALUE"""),0)</f>
        <v>0</v>
      </c>
      <c r="Q3" s="23">
        <f ca="1">IFERROR(__xludf.DUMMYFUNCTION("""COMPUTED_VALUE"""),0)</f>
        <v>0</v>
      </c>
      <c r="R3" s="23">
        <f ca="1">IFERROR(__xludf.DUMMYFUNCTION("""COMPUTED_VALUE"""),0)</f>
        <v>0</v>
      </c>
      <c r="S3" s="23">
        <f ca="1">IFERROR(__xludf.DUMMYFUNCTION("""COMPUTED_VALUE"""),0)</f>
        <v>0</v>
      </c>
    </row>
    <row r="4" spans="1:19">
      <c r="A4" s="23" t="str">
        <f ca="1">IFERROR(__xludf.DUMMYFUNCTION("""COMPUTED_VALUE"""),"DICTAMINACION DE TOPES")</f>
        <v>DICTAMINACION DE TOPES</v>
      </c>
      <c r="B4" s="23">
        <f ca="1">IFERROR(__xludf.DUMMYFUNCTION("""COMPUTED_VALUE"""),80)</f>
        <v>80</v>
      </c>
      <c r="C4" s="23" t="str">
        <f ca="1">IFERROR(__xludf.DUMMYFUNCTION("""COMPUTED_VALUE"""),"TOPES INSTALADOS")</f>
        <v>TOPES INSTALADOS</v>
      </c>
      <c r="D4" s="23" t="str">
        <f ca="1">IFERROR(__xludf.DUMMYFUNCTION("""COMPUTED_VALUE"""),"ASCENDENTE")</f>
        <v>ASCENDENTE</v>
      </c>
      <c r="E4" s="23" t="str">
        <f ca="1">IFERROR(__xludf.DUMMYFUNCTION("""COMPUTED_VALUE"""),"BITACORA OPERATIVA")</f>
        <v>BITACORA OPERATIVA</v>
      </c>
      <c r="F4" s="23">
        <f ca="1">IFERROR(__xludf.DUMMYFUNCTION("""COMPUTED_VALUE"""),0)</f>
        <v>0</v>
      </c>
      <c r="G4" s="23">
        <f ca="1">IFERROR(__xludf.DUMMYFUNCTION("""COMPUTED_VALUE"""),0)</f>
        <v>0</v>
      </c>
      <c r="H4" s="23">
        <f ca="1">IFERROR(__xludf.DUMMYFUNCTION("""COMPUTED_VALUE"""),0)</f>
        <v>0</v>
      </c>
      <c r="I4" s="23">
        <f ca="1">IFERROR(__xludf.DUMMYFUNCTION("""COMPUTED_VALUE"""),0)</f>
        <v>0</v>
      </c>
      <c r="J4" s="23">
        <f ca="1">IFERROR(__xludf.DUMMYFUNCTION("""COMPUTED_VALUE"""),0)</f>
        <v>0</v>
      </c>
      <c r="K4" s="23">
        <f ca="1">IFERROR(__xludf.DUMMYFUNCTION("""COMPUTED_VALUE"""),0)</f>
        <v>0</v>
      </c>
      <c r="L4" s="23">
        <f ca="1">IFERROR(__xludf.DUMMYFUNCTION("""COMPUTED_VALUE"""),0)</f>
        <v>0</v>
      </c>
      <c r="M4" s="23">
        <f ca="1">IFERROR(__xludf.DUMMYFUNCTION("""COMPUTED_VALUE"""),0)</f>
        <v>0</v>
      </c>
      <c r="N4" s="23">
        <f ca="1">IFERROR(__xludf.DUMMYFUNCTION("""COMPUTED_VALUE"""),0)</f>
        <v>0</v>
      </c>
      <c r="O4" s="23">
        <f ca="1">IFERROR(__xludf.DUMMYFUNCTION("""COMPUTED_VALUE"""),0)</f>
        <v>0</v>
      </c>
      <c r="P4" s="23">
        <f ca="1">IFERROR(__xludf.DUMMYFUNCTION("""COMPUTED_VALUE"""),0)</f>
        <v>0</v>
      </c>
      <c r="Q4" s="23">
        <f ca="1">IFERROR(__xludf.DUMMYFUNCTION("""COMPUTED_VALUE"""),0)</f>
        <v>0</v>
      </c>
      <c r="R4" s="23">
        <f ca="1">IFERROR(__xludf.DUMMYFUNCTION("""COMPUTED_VALUE"""),0)</f>
        <v>0</v>
      </c>
      <c r="S4" s="23">
        <f ca="1">IFERROR(__xludf.DUMMYFUNCTION("""COMPUTED_VALUE"""),0)</f>
        <v>0</v>
      </c>
    </row>
    <row r="5" spans="1:19">
      <c r="A5" s="23" t="str">
        <f ca="1">IFERROR(__xludf.DUMMYFUNCTION("""COMPUTED_VALUE"""),"DICTAMINACION DE ESPACIOS EXCLUSIVOS")</f>
        <v>DICTAMINACION DE ESPACIOS EXCLUSIVOS</v>
      </c>
      <c r="B5" s="23">
        <f ca="1">IFERROR(__xludf.DUMMYFUNCTION("""COMPUTED_VALUE"""),15)</f>
        <v>15</v>
      </c>
      <c r="C5" s="23" t="str">
        <f ca="1">IFERROR(__xludf.DUMMYFUNCTION("""COMPUTED_VALUE"""),"ESPACIOS INTERVENIDOS")</f>
        <v>ESPACIOS INTERVENIDOS</v>
      </c>
      <c r="D5" s="23" t="str">
        <f ca="1">IFERROR(__xludf.DUMMYFUNCTION("""COMPUTED_VALUE"""),"ASCENDENTE")</f>
        <v>ASCENDENTE</v>
      </c>
      <c r="E5" s="23" t="str">
        <f ca="1">IFERROR(__xludf.DUMMYFUNCTION("""COMPUTED_VALUE"""),"BITACORA OPERATIVA")</f>
        <v>BITACORA OPERATIVA</v>
      </c>
      <c r="F5" s="23">
        <f ca="1">IFERROR(__xludf.DUMMYFUNCTION("""COMPUTED_VALUE"""),0)</f>
        <v>0</v>
      </c>
      <c r="G5" s="23">
        <f ca="1">IFERROR(__xludf.DUMMYFUNCTION("""COMPUTED_VALUE"""),0)</f>
        <v>0</v>
      </c>
      <c r="H5" s="23">
        <f ca="1">IFERROR(__xludf.DUMMYFUNCTION("""COMPUTED_VALUE"""),0)</f>
        <v>0</v>
      </c>
      <c r="I5" s="23">
        <f ca="1">IFERROR(__xludf.DUMMYFUNCTION("""COMPUTED_VALUE"""),0)</f>
        <v>0</v>
      </c>
      <c r="J5" s="23">
        <f ca="1">IFERROR(__xludf.DUMMYFUNCTION("""COMPUTED_VALUE"""),0)</f>
        <v>0</v>
      </c>
      <c r="K5" s="23">
        <f ca="1">IFERROR(__xludf.DUMMYFUNCTION("""COMPUTED_VALUE"""),0)</f>
        <v>0</v>
      </c>
      <c r="L5" s="23">
        <f ca="1">IFERROR(__xludf.DUMMYFUNCTION("""COMPUTED_VALUE"""),0)</f>
        <v>0</v>
      </c>
      <c r="M5" s="23">
        <f ca="1">IFERROR(__xludf.DUMMYFUNCTION("""COMPUTED_VALUE"""),0)</f>
        <v>0</v>
      </c>
      <c r="N5" s="23">
        <f ca="1">IFERROR(__xludf.DUMMYFUNCTION("""COMPUTED_VALUE"""),0)</f>
        <v>0</v>
      </c>
      <c r="O5" s="23">
        <f ca="1">IFERROR(__xludf.DUMMYFUNCTION("""COMPUTED_VALUE"""),0)</f>
        <v>0</v>
      </c>
      <c r="P5" s="23">
        <f ca="1">IFERROR(__xludf.DUMMYFUNCTION("""COMPUTED_VALUE"""),0)</f>
        <v>0</v>
      </c>
      <c r="Q5" s="23">
        <f ca="1">IFERROR(__xludf.DUMMYFUNCTION("""COMPUTED_VALUE"""),0)</f>
        <v>0</v>
      </c>
      <c r="R5" s="23">
        <f ca="1">IFERROR(__xludf.DUMMYFUNCTION("""COMPUTED_VALUE"""),0)</f>
        <v>0</v>
      </c>
      <c r="S5" s="23">
        <f ca="1">IFERROR(__xludf.DUMMYFUNCTION("""COMPUTED_VALUE"""),0)</f>
        <v>0</v>
      </c>
    </row>
    <row r="6" spans="1:19">
      <c r="A6" s="23" t="str">
        <f ca="1">IFERROR(__xludf.DUMMYFUNCTION("""COMPUTED_VALUE"""),"PROYECTOS DE INTERVENCION")</f>
        <v>PROYECTOS DE INTERVENCION</v>
      </c>
      <c r="B6" s="23">
        <f ca="1">IFERROR(__xludf.DUMMYFUNCTION("""COMPUTED_VALUE"""),30)</f>
        <v>30</v>
      </c>
      <c r="C6" s="23" t="str">
        <f ca="1">IFERROR(__xludf.DUMMYFUNCTION("""COMPUTED_VALUE"""),"PROYECTOS EJECUTADOS")</f>
        <v>PROYECTOS EJECUTADOS</v>
      </c>
      <c r="D6" s="23" t="str">
        <f ca="1">IFERROR(__xludf.DUMMYFUNCTION("""COMPUTED_VALUE"""),"ASCENDENTE")</f>
        <v>ASCENDENTE</v>
      </c>
      <c r="E6" s="23" t="str">
        <f ca="1">IFERROR(__xludf.DUMMYFUNCTION("""COMPUTED_VALUE"""),"BITACORA OPERATIVA")</f>
        <v>BITACORA OPERATIVA</v>
      </c>
      <c r="F6" s="23">
        <f ca="1">IFERROR(__xludf.DUMMYFUNCTION("""COMPUTED_VALUE"""),0)</f>
        <v>0</v>
      </c>
      <c r="G6" s="23">
        <f ca="1">IFERROR(__xludf.DUMMYFUNCTION("""COMPUTED_VALUE"""),0)</f>
        <v>0</v>
      </c>
      <c r="H6" s="23">
        <f ca="1">IFERROR(__xludf.DUMMYFUNCTION("""COMPUTED_VALUE"""),0)</f>
        <v>0</v>
      </c>
      <c r="I6" s="23">
        <f ca="1">IFERROR(__xludf.DUMMYFUNCTION("""COMPUTED_VALUE"""),0)</f>
        <v>0</v>
      </c>
      <c r="J6" s="23">
        <f ca="1">IFERROR(__xludf.DUMMYFUNCTION("""COMPUTED_VALUE"""),0)</f>
        <v>0</v>
      </c>
      <c r="K6" s="23">
        <f ca="1">IFERROR(__xludf.DUMMYFUNCTION("""COMPUTED_VALUE"""),0)</f>
        <v>0</v>
      </c>
      <c r="L6" s="23">
        <f ca="1">IFERROR(__xludf.DUMMYFUNCTION("""COMPUTED_VALUE"""),0)</f>
        <v>0</v>
      </c>
      <c r="M6" s="23">
        <f ca="1">IFERROR(__xludf.DUMMYFUNCTION("""COMPUTED_VALUE"""),0)</f>
        <v>0</v>
      </c>
      <c r="N6" s="23">
        <f ca="1">IFERROR(__xludf.DUMMYFUNCTION("""COMPUTED_VALUE"""),0)</f>
        <v>0</v>
      </c>
      <c r="O6" s="23">
        <f ca="1">IFERROR(__xludf.DUMMYFUNCTION("""COMPUTED_VALUE"""),0)</f>
        <v>0</v>
      </c>
      <c r="P6" s="23">
        <f ca="1">IFERROR(__xludf.DUMMYFUNCTION("""COMPUTED_VALUE"""),0)</f>
        <v>0</v>
      </c>
      <c r="Q6" s="23">
        <f ca="1">IFERROR(__xludf.DUMMYFUNCTION("""COMPUTED_VALUE"""),0)</f>
        <v>0</v>
      </c>
      <c r="R6" s="23">
        <f ca="1">IFERROR(__xludf.DUMMYFUNCTION("""COMPUTED_VALUE"""),0)</f>
        <v>0</v>
      </c>
      <c r="S6" s="23">
        <f ca="1">IFERROR(__xludf.DUMMYFUNCTION("""COMPUTED_VALUE"""),0)</f>
        <v>0</v>
      </c>
    </row>
    <row r="7" spans="1:19">
      <c r="A7" s="23" t="str">
        <f ca="1">IFERROR(__xludf.DUMMYFUNCTION("""COMPUTED_VALUE"""),"SESIONES DE MESAS METROPOLITANAS")</f>
        <v>SESIONES DE MESAS METROPOLITANAS</v>
      </c>
      <c r="B7" s="23">
        <f ca="1">IFERROR(__xludf.DUMMYFUNCTION("""COMPUTED_VALUE"""),12)</f>
        <v>12</v>
      </c>
      <c r="C7" s="23" t="str">
        <f ca="1">IFERROR(__xludf.DUMMYFUNCTION("""COMPUTED_VALUE"""),"SESIONES")</f>
        <v>SESIONES</v>
      </c>
      <c r="D7" s="23" t="str">
        <f ca="1">IFERROR(__xludf.DUMMYFUNCTION("""COMPUTED_VALUE"""),"ASCENDENTE")</f>
        <v>ASCENDENTE</v>
      </c>
      <c r="E7" s="23" t="str">
        <f ca="1">IFERROR(__xludf.DUMMYFUNCTION("""COMPUTED_VALUE"""),"BITACORA OPERATIVA")</f>
        <v>BITACORA OPERATIVA</v>
      </c>
      <c r="F7" s="23">
        <f ca="1">IFERROR(__xludf.DUMMYFUNCTION("""COMPUTED_VALUE"""),0)</f>
        <v>0</v>
      </c>
      <c r="G7" s="23">
        <f ca="1">IFERROR(__xludf.DUMMYFUNCTION("""COMPUTED_VALUE"""),0)</f>
        <v>0</v>
      </c>
      <c r="H7" s="23">
        <f ca="1">IFERROR(__xludf.DUMMYFUNCTION("""COMPUTED_VALUE"""),0)</f>
        <v>0</v>
      </c>
      <c r="I7" s="23">
        <f ca="1">IFERROR(__xludf.DUMMYFUNCTION("""COMPUTED_VALUE"""),0)</f>
        <v>0</v>
      </c>
      <c r="J7" s="23">
        <f ca="1">IFERROR(__xludf.DUMMYFUNCTION("""COMPUTED_VALUE"""),0)</f>
        <v>0</v>
      </c>
      <c r="K7" s="23">
        <f ca="1">IFERROR(__xludf.DUMMYFUNCTION("""COMPUTED_VALUE"""),0)</f>
        <v>0</v>
      </c>
      <c r="L7" s="23">
        <f ca="1">IFERROR(__xludf.DUMMYFUNCTION("""COMPUTED_VALUE"""),0)</f>
        <v>0</v>
      </c>
      <c r="M7" s="23">
        <f ca="1">IFERROR(__xludf.DUMMYFUNCTION("""COMPUTED_VALUE"""),0)</f>
        <v>0</v>
      </c>
      <c r="N7" s="23">
        <f ca="1">IFERROR(__xludf.DUMMYFUNCTION("""COMPUTED_VALUE"""),0)</f>
        <v>0</v>
      </c>
      <c r="O7" s="23">
        <f ca="1">IFERROR(__xludf.DUMMYFUNCTION("""COMPUTED_VALUE"""),0)</f>
        <v>0</v>
      </c>
      <c r="P7" s="23">
        <f ca="1">IFERROR(__xludf.DUMMYFUNCTION("""COMPUTED_VALUE"""),0)</f>
        <v>0</v>
      </c>
      <c r="Q7" s="23">
        <f ca="1">IFERROR(__xludf.DUMMYFUNCTION("""COMPUTED_VALUE"""),0)</f>
        <v>0</v>
      </c>
      <c r="R7" s="23">
        <f ca="1">IFERROR(__xludf.DUMMYFUNCTION("""COMPUTED_VALUE"""),0)</f>
        <v>0</v>
      </c>
      <c r="S7" s="23">
        <f ca="1">IFERROR(__xludf.DUMMYFUNCTION("""COMPUTED_VALUE"""),0)</f>
        <v>0</v>
      </c>
    </row>
    <row r="8" spans="1:19">
      <c r="A8" s="23" t="str">
        <f ca="1">IFERROR(__xludf.DUMMYFUNCTION("""COMPUTED_VALUE"""),"SEGUIMIENTO DE ACUERDOS METROPOLITANOS")</f>
        <v>SEGUIMIENTO DE ACUERDOS METROPOLITANOS</v>
      </c>
      <c r="B8" s="23">
        <f ca="1">IFERROR(__xludf.DUMMYFUNCTION("""COMPUTED_VALUE"""),520)</f>
        <v>520</v>
      </c>
      <c r="C8" s="23" t="str">
        <f ca="1">IFERROR(__xludf.DUMMYFUNCTION("""COMPUTED_VALUE"""),"ACUERDOS TOMADOS")</f>
        <v>ACUERDOS TOMADOS</v>
      </c>
      <c r="D8" s="23" t="str">
        <f ca="1">IFERROR(__xludf.DUMMYFUNCTION("""COMPUTED_VALUE"""),"ASCENDENTE")</f>
        <v>ASCENDENTE</v>
      </c>
      <c r="E8" s="23" t="str">
        <f ca="1">IFERROR(__xludf.DUMMYFUNCTION("""COMPUTED_VALUE"""),"BITACORA OPERATIVA")</f>
        <v>BITACORA OPERATIVA</v>
      </c>
      <c r="F8" s="23">
        <f ca="1">IFERROR(__xludf.DUMMYFUNCTION("""COMPUTED_VALUE"""),0)</f>
        <v>0</v>
      </c>
      <c r="G8" s="23">
        <f ca="1">IFERROR(__xludf.DUMMYFUNCTION("""COMPUTED_VALUE"""),0)</f>
        <v>0</v>
      </c>
      <c r="H8" s="23">
        <f ca="1">IFERROR(__xludf.DUMMYFUNCTION("""COMPUTED_VALUE"""),0)</f>
        <v>0</v>
      </c>
      <c r="I8" s="23">
        <f ca="1">IFERROR(__xludf.DUMMYFUNCTION("""COMPUTED_VALUE"""),0)</f>
        <v>0</v>
      </c>
      <c r="J8" s="23">
        <f ca="1">IFERROR(__xludf.DUMMYFUNCTION("""COMPUTED_VALUE"""),0)</f>
        <v>0</v>
      </c>
      <c r="K8" s="23">
        <f ca="1">IFERROR(__xludf.DUMMYFUNCTION("""COMPUTED_VALUE"""),0)</f>
        <v>0</v>
      </c>
      <c r="L8" s="23">
        <f ca="1">IFERROR(__xludf.DUMMYFUNCTION("""COMPUTED_VALUE"""),0)</f>
        <v>0</v>
      </c>
      <c r="M8" s="23">
        <f ca="1">IFERROR(__xludf.DUMMYFUNCTION("""COMPUTED_VALUE"""),0)</f>
        <v>0</v>
      </c>
      <c r="N8" s="23">
        <f ca="1">IFERROR(__xludf.DUMMYFUNCTION("""COMPUTED_VALUE"""),0)</f>
        <v>0</v>
      </c>
      <c r="O8" s="23">
        <f ca="1">IFERROR(__xludf.DUMMYFUNCTION("""COMPUTED_VALUE"""),0)</f>
        <v>0</v>
      </c>
      <c r="P8" s="23">
        <f ca="1">IFERROR(__xludf.DUMMYFUNCTION("""COMPUTED_VALUE"""),0)</f>
        <v>0</v>
      </c>
      <c r="Q8" s="23">
        <f ca="1">IFERROR(__xludf.DUMMYFUNCTION("""COMPUTED_VALUE"""),0)</f>
        <v>0</v>
      </c>
      <c r="R8" s="23">
        <f ca="1">IFERROR(__xludf.DUMMYFUNCTION("""COMPUTED_VALUE"""),0)</f>
        <v>0</v>
      </c>
      <c r="S8" s="23">
        <f ca="1">IFERROR(__xludf.DUMMYFUNCTION("""COMPUTED_VALUE"""),0)</f>
        <v>0</v>
      </c>
    </row>
    <row r="9" spans="1:19">
      <c r="A9" s="23" t="str">
        <f ca="1">IFERROR(__xludf.DUMMYFUNCTION("""COMPUTED_VALUE"""),"SESIONES DE GRUPOS DE TRABAJO")</f>
        <v>SESIONES DE GRUPOS DE TRABAJO</v>
      </c>
      <c r="B9" s="23">
        <f ca="1">IFERROR(__xludf.DUMMYFUNCTION("""COMPUTED_VALUE"""),500)</f>
        <v>500</v>
      </c>
      <c r="C9" s="23" t="str">
        <f ca="1">IFERROR(__xludf.DUMMYFUNCTION("""COMPUTED_VALUE"""),"SESIONES")</f>
        <v>SESIONES</v>
      </c>
      <c r="D9" s="23" t="str">
        <f ca="1">IFERROR(__xludf.DUMMYFUNCTION("""COMPUTED_VALUE"""),"ASCENDENTE")</f>
        <v>ASCENDENTE</v>
      </c>
      <c r="E9" s="23" t="str">
        <f ca="1">IFERROR(__xludf.DUMMYFUNCTION("""COMPUTED_VALUE"""),"BITACORA OPERATIVA")</f>
        <v>BITACORA OPERATIVA</v>
      </c>
      <c r="F9" s="23">
        <f ca="1">IFERROR(__xludf.DUMMYFUNCTION("""COMPUTED_VALUE"""),0)</f>
        <v>0</v>
      </c>
      <c r="G9" s="23">
        <f ca="1">IFERROR(__xludf.DUMMYFUNCTION("""COMPUTED_VALUE"""),0)</f>
        <v>0</v>
      </c>
      <c r="H9" s="23">
        <f ca="1">IFERROR(__xludf.DUMMYFUNCTION("""COMPUTED_VALUE"""),0)</f>
        <v>0</v>
      </c>
      <c r="I9" s="23">
        <f ca="1">IFERROR(__xludf.DUMMYFUNCTION("""COMPUTED_VALUE"""),0)</f>
        <v>0</v>
      </c>
      <c r="J9" s="23">
        <f ca="1">IFERROR(__xludf.DUMMYFUNCTION("""COMPUTED_VALUE"""),0)</f>
        <v>0</v>
      </c>
      <c r="K9" s="23">
        <f ca="1">IFERROR(__xludf.DUMMYFUNCTION("""COMPUTED_VALUE"""),0)</f>
        <v>0</v>
      </c>
      <c r="L9" s="23">
        <f ca="1">IFERROR(__xludf.DUMMYFUNCTION("""COMPUTED_VALUE"""),0)</f>
        <v>0</v>
      </c>
      <c r="M9" s="23">
        <f ca="1">IFERROR(__xludf.DUMMYFUNCTION("""COMPUTED_VALUE"""),0)</f>
        <v>0</v>
      </c>
      <c r="N9" s="23">
        <f ca="1">IFERROR(__xludf.DUMMYFUNCTION("""COMPUTED_VALUE"""),0)</f>
        <v>0</v>
      </c>
      <c r="O9" s="23">
        <f ca="1">IFERROR(__xludf.DUMMYFUNCTION("""COMPUTED_VALUE"""),0)</f>
        <v>0</v>
      </c>
      <c r="P9" s="23">
        <f ca="1">IFERROR(__xludf.DUMMYFUNCTION("""COMPUTED_VALUE"""),0)</f>
        <v>0</v>
      </c>
      <c r="Q9" s="23">
        <f ca="1">IFERROR(__xludf.DUMMYFUNCTION("""COMPUTED_VALUE"""),0)</f>
        <v>0</v>
      </c>
      <c r="R9" s="23">
        <f ca="1">IFERROR(__xludf.DUMMYFUNCTION("""COMPUTED_VALUE"""),0)</f>
        <v>0</v>
      </c>
      <c r="S9" s="23">
        <f ca="1">IFERROR(__xludf.DUMMYFUNCTION("""COMPUTED_VALUE"""),0)</f>
        <v>0</v>
      </c>
    </row>
    <row r="10" spans="1:19">
      <c r="A10" s="23" t="str">
        <f ca="1">IFERROR(__xludf.DUMMYFUNCTION("""COMPUTED_VALUE"""),"DISEÑO DE HERRAMIENTAS")</f>
        <v>DISEÑO DE HERRAMIENTAS</v>
      </c>
      <c r="B10" s="23">
        <f ca="1">IFERROR(__xludf.DUMMYFUNCTION("""COMPUTED_VALUE"""),1100)</f>
        <v>1100</v>
      </c>
      <c r="C10" s="23" t="str">
        <f ca="1">IFERROR(__xludf.DUMMYFUNCTION("""COMPUTED_VALUE"""),"HERRAMIENTAS REALIZADAS")</f>
        <v>HERRAMIENTAS REALIZADAS</v>
      </c>
      <c r="D10" s="23" t="str">
        <f ca="1">IFERROR(__xludf.DUMMYFUNCTION("""COMPUTED_VALUE"""),"ASCENDENTE")</f>
        <v>ASCENDENTE</v>
      </c>
      <c r="E10" s="23" t="str">
        <f ca="1">IFERROR(__xludf.DUMMYFUNCTION("""COMPUTED_VALUE"""),"BITACORA OPERATIVA")</f>
        <v>BITACORA OPERATIVA</v>
      </c>
      <c r="F10" s="23">
        <f ca="1">IFERROR(__xludf.DUMMYFUNCTION("""COMPUTED_VALUE"""),40)</f>
        <v>40</v>
      </c>
      <c r="G10" s="23">
        <f ca="1">IFERROR(__xludf.DUMMYFUNCTION("""COMPUTED_VALUE"""),3)</f>
        <v>3</v>
      </c>
      <c r="H10" s="23">
        <f ca="1">IFERROR(__xludf.DUMMYFUNCTION("""COMPUTED_VALUE"""),1)</f>
        <v>1</v>
      </c>
      <c r="I10" s="23">
        <f ca="1">IFERROR(__xludf.DUMMYFUNCTION("""COMPUTED_VALUE"""),1)</f>
        <v>1</v>
      </c>
      <c r="J10" s="23">
        <f ca="1">IFERROR(__xludf.DUMMYFUNCTION("""COMPUTED_VALUE"""),1)</f>
        <v>1</v>
      </c>
      <c r="K10" s="23">
        <f ca="1">IFERROR(__xludf.DUMMYFUNCTION("""COMPUTED_VALUE"""),1)</f>
        <v>1</v>
      </c>
      <c r="L10" s="23">
        <f ca="1">IFERROR(__xludf.DUMMYFUNCTION("""COMPUTED_VALUE"""),1)</f>
        <v>1</v>
      </c>
      <c r="M10" s="23">
        <f ca="1">IFERROR(__xludf.DUMMYFUNCTION("""COMPUTED_VALUE"""),0)</f>
        <v>0</v>
      </c>
      <c r="N10" s="23">
        <f ca="1">IFERROR(__xludf.DUMMYFUNCTION("""COMPUTED_VALUE"""),0)</f>
        <v>0</v>
      </c>
      <c r="O10" s="23">
        <f ca="1">IFERROR(__xludf.DUMMYFUNCTION("""COMPUTED_VALUE"""),0)</f>
        <v>0</v>
      </c>
      <c r="P10" s="23">
        <f ca="1">IFERROR(__xludf.DUMMYFUNCTION("""COMPUTED_VALUE"""),0)</f>
        <v>0</v>
      </c>
      <c r="Q10" s="23">
        <f ca="1">IFERROR(__xludf.DUMMYFUNCTION("""COMPUTED_VALUE"""),0)</f>
        <v>0</v>
      </c>
      <c r="R10" s="23">
        <f ca="1">IFERROR(__xludf.DUMMYFUNCTION("""COMPUTED_VALUE"""),0)</f>
        <v>0</v>
      </c>
      <c r="S10" s="23">
        <f ca="1">IFERROR(__xludf.DUMMYFUNCTION("""COMPUTED_VALUE"""),8)</f>
        <v>8</v>
      </c>
    </row>
    <row r="11" spans="1:19">
      <c r="A11" s="23" t="str">
        <f ca="1">IFERROR(__xludf.DUMMYFUNCTION("""COMPUTED_VALUE"""),"ACTUALIZACION DE HERRAMIENTAS ")</f>
        <v xml:space="preserve">ACTUALIZACION DE HERRAMIENTAS </v>
      </c>
      <c r="B11" s="23">
        <f ca="1">IFERROR(__xludf.DUMMYFUNCTION("""COMPUTED_VALUE"""),980)</f>
        <v>980</v>
      </c>
      <c r="C11" s="23" t="str">
        <f ca="1">IFERROR(__xludf.DUMMYFUNCTION("""COMPUTED_VALUE"""),"HERRAMIENTAS ACTUALIZADAS")</f>
        <v>HERRAMIENTAS ACTUALIZADAS</v>
      </c>
      <c r="D11" s="23" t="str">
        <f ca="1">IFERROR(__xludf.DUMMYFUNCTION("""COMPUTED_VALUE"""),"ASCENDENTE")</f>
        <v>ASCENDENTE</v>
      </c>
      <c r="E11" s="23" t="str">
        <f ca="1">IFERROR(__xludf.DUMMYFUNCTION("""COMPUTED_VALUE"""),"BITACORA OPERATIVA")</f>
        <v>BITACORA OPERATIVA</v>
      </c>
      <c r="F11" s="23">
        <f ca="1">IFERROR(__xludf.DUMMYFUNCTION("""COMPUTED_VALUE"""),16.6666666666666)</f>
        <v>16.6666666666666</v>
      </c>
      <c r="G11" s="23">
        <f ca="1">IFERROR(__xludf.DUMMYFUNCTION("""COMPUTED_VALUE"""),0)</f>
        <v>0</v>
      </c>
      <c r="H11" s="23">
        <f ca="1">IFERROR(__xludf.DUMMYFUNCTION("""COMPUTED_VALUE"""),0)</f>
        <v>0</v>
      </c>
      <c r="I11" s="23">
        <f ca="1">IFERROR(__xludf.DUMMYFUNCTION("""COMPUTED_VALUE"""),0)</f>
        <v>0</v>
      </c>
      <c r="J11" s="23">
        <f ca="1">IFERROR(__xludf.DUMMYFUNCTION("""COMPUTED_VALUE"""),0)</f>
        <v>0</v>
      </c>
      <c r="K11" s="23">
        <f ca="1">IFERROR(__xludf.DUMMYFUNCTION("""COMPUTED_VALUE"""),2)</f>
        <v>2</v>
      </c>
      <c r="L11" s="23">
        <f ca="1">IFERROR(__xludf.DUMMYFUNCTION("""COMPUTED_VALUE"""),1)</f>
        <v>1</v>
      </c>
      <c r="M11" s="23">
        <f ca="1">IFERROR(__xludf.DUMMYFUNCTION("""COMPUTED_VALUE"""),0)</f>
        <v>0</v>
      </c>
      <c r="N11" s="23">
        <f ca="1">IFERROR(__xludf.DUMMYFUNCTION("""COMPUTED_VALUE"""),0)</f>
        <v>0</v>
      </c>
      <c r="O11" s="23">
        <f ca="1">IFERROR(__xludf.DUMMYFUNCTION("""COMPUTED_VALUE"""),0)</f>
        <v>0</v>
      </c>
      <c r="P11" s="23">
        <f ca="1">IFERROR(__xludf.DUMMYFUNCTION("""COMPUTED_VALUE"""),0)</f>
        <v>0</v>
      </c>
      <c r="Q11" s="23">
        <f ca="1">IFERROR(__xludf.DUMMYFUNCTION("""COMPUTED_VALUE"""),0)</f>
        <v>0</v>
      </c>
      <c r="R11" s="23">
        <f ca="1">IFERROR(__xludf.DUMMYFUNCTION("""COMPUTED_VALUE"""),0)</f>
        <v>0</v>
      </c>
      <c r="S11" s="23">
        <f ca="1">IFERROR(__xludf.DUMMYFUNCTION("""COMPUTED_VALUE"""),3)</f>
        <v>3</v>
      </c>
    </row>
    <row r="12" spans="1:19">
      <c r="A12" s="23" t="str">
        <f ca="1">IFERROR(__xludf.DUMMYFUNCTION("""COMPUTED_VALUE"""),"SESIONES DE GRUPOS DE TRABAJO")</f>
        <v>SESIONES DE GRUPOS DE TRABAJO</v>
      </c>
      <c r="B12" s="23">
        <f ca="1">IFERROR(__xludf.DUMMYFUNCTION("""COMPUTED_VALUE"""),70)</f>
        <v>70</v>
      </c>
      <c r="C12" s="23" t="str">
        <f ca="1">IFERROR(__xludf.DUMMYFUNCTION("""COMPUTED_VALUE"""),"SESIONES")</f>
        <v>SESIONES</v>
      </c>
      <c r="D12" s="23" t="str">
        <f ca="1">IFERROR(__xludf.DUMMYFUNCTION("""COMPUTED_VALUE"""),"ASCENDENTE")</f>
        <v>ASCENDENTE</v>
      </c>
      <c r="E12" s="23" t="str">
        <f ca="1">IFERROR(__xludf.DUMMYFUNCTION("""COMPUTED_VALUE"""),"BITACORA OPERATIVA")</f>
        <v>BITACORA OPERATIVA</v>
      </c>
      <c r="F12" s="23">
        <f ca="1">IFERROR(__xludf.DUMMYFUNCTION("""COMPUTED_VALUE"""),25)</f>
        <v>25</v>
      </c>
      <c r="G12" s="23">
        <f ca="1">IFERROR(__xludf.DUMMYFUNCTION("""COMPUTED_VALUE"""),5)</f>
        <v>5</v>
      </c>
      <c r="H12" s="23">
        <f ca="1">IFERROR(__xludf.DUMMYFUNCTION("""COMPUTED_VALUE"""),4)</f>
        <v>4</v>
      </c>
      <c r="I12" s="23">
        <f ca="1">IFERROR(__xludf.DUMMYFUNCTION("""COMPUTED_VALUE"""),4)</f>
        <v>4</v>
      </c>
      <c r="J12" s="23">
        <f ca="1">IFERROR(__xludf.DUMMYFUNCTION("""COMPUTED_VALUE"""),5)</f>
        <v>5</v>
      </c>
      <c r="K12" s="23">
        <f ca="1">IFERROR(__xludf.DUMMYFUNCTION("""COMPUTED_VALUE"""),4)</f>
        <v>4</v>
      </c>
      <c r="L12" s="23">
        <f ca="1">IFERROR(__xludf.DUMMYFUNCTION("""COMPUTED_VALUE"""),3)</f>
        <v>3</v>
      </c>
      <c r="M12" s="23">
        <f ca="1">IFERROR(__xludf.DUMMYFUNCTION("""COMPUTED_VALUE"""),0)</f>
        <v>0</v>
      </c>
      <c r="N12" s="23">
        <f ca="1">IFERROR(__xludf.DUMMYFUNCTION("""COMPUTED_VALUE"""),0)</f>
        <v>0</v>
      </c>
      <c r="O12" s="23">
        <f ca="1">IFERROR(__xludf.DUMMYFUNCTION("""COMPUTED_VALUE"""),0)</f>
        <v>0</v>
      </c>
      <c r="P12" s="23">
        <f ca="1">IFERROR(__xludf.DUMMYFUNCTION("""COMPUTED_VALUE"""),0)</f>
        <v>0</v>
      </c>
      <c r="Q12" s="23">
        <f ca="1">IFERROR(__xludf.DUMMYFUNCTION("""COMPUTED_VALUE"""),0)</f>
        <v>0</v>
      </c>
      <c r="R12" s="23">
        <f ca="1">IFERROR(__xludf.DUMMYFUNCTION("""COMPUTED_VALUE"""),0)</f>
        <v>0</v>
      </c>
      <c r="S12" s="23">
        <f ca="1">IFERROR(__xludf.DUMMYFUNCTION("""COMPUTED_VALUE"""),25)</f>
        <v>25</v>
      </c>
    </row>
    <row r="13" spans="1:19">
      <c r="A13" s="23" t="str">
        <f ca="1">IFERROR(__xludf.DUMMYFUNCTION("""COMPUTED_VALUE"""),"SEGUIMIENTO DE ACUERDOS")</f>
        <v>SEGUIMIENTO DE ACUERDOS</v>
      </c>
      <c r="B13" s="23">
        <f ca="1">IFERROR(__xludf.DUMMYFUNCTION("""COMPUTED_VALUE"""),80)</f>
        <v>80</v>
      </c>
      <c r="C13" s="23" t="str">
        <f ca="1">IFERROR(__xludf.DUMMYFUNCTION("""COMPUTED_VALUE"""),"ACUERDOS TOMADOS")</f>
        <v>ACUERDOS TOMADOS</v>
      </c>
      <c r="D13" s="23" t="str">
        <f ca="1">IFERROR(__xludf.DUMMYFUNCTION("""COMPUTED_VALUE"""),"ASCENDENTE")</f>
        <v>ASCENDENTE</v>
      </c>
      <c r="E13" s="23" t="str">
        <f ca="1">IFERROR(__xludf.DUMMYFUNCTION("""COMPUTED_VALUE"""),"BITACORA OPERATIVA")</f>
        <v>BITACORA OPERATIVA</v>
      </c>
      <c r="F13" s="23">
        <f ca="1">IFERROR(__xludf.DUMMYFUNCTION("""COMPUTED_VALUE"""),37.5)</f>
        <v>37.5</v>
      </c>
      <c r="G13" s="23">
        <f ca="1">IFERROR(__xludf.DUMMYFUNCTION("""COMPUTED_VALUE"""),30)</f>
        <v>30</v>
      </c>
      <c r="H13" s="23">
        <f ca="1">IFERROR(__xludf.DUMMYFUNCTION("""COMPUTED_VALUE"""),0)</f>
        <v>0</v>
      </c>
      <c r="I13" s="23">
        <f ca="1">IFERROR(__xludf.DUMMYFUNCTION("""COMPUTED_VALUE"""),10)</f>
        <v>10</v>
      </c>
      <c r="J13" s="23">
        <f ca="1">IFERROR(__xludf.DUMMYFUNCTION("""COMPUTED_VALUE"""),15)</f>
        <v>15</v>
      </c>
      <c r="K13" s="23">
        <f ca="1">IFERROR(__xludf.DUMMYFUNCTION("""COMPUTED_VALUE"""),15)</f>
        <v>15</v>
      </c>
      <c r="L13" s="23">
        <f ca="1">IFERROR(__xludf.DUMMYFUNCTION("""COMPUTED_VALUE"""),5)</f>
        <v>5</v>
      </c>
      <c r="M13" s="23">
        <f ca="1">IFERROR(__xludf.DUMMYFUNCTION("""COMPUTED_VALUE"""),0)</f>
        <v>0</v>
      </c>
      <c r="N13" s="23">
        <f ca="1">IFERROR(__xludf.DUMMYFUNCTION("""COMPUTED_VALUE"""),0)</f>
        <v>0</v>
      </c>
      <c r="O13" s="23">
        <f ca="1">IFERROR(__xludf.DUMMYFUNCTION("""COMPUTED_VALUE"""),0)</f>
        <v>0</v>
      </c>
      <c r="P13" s="23">
        <f ca="1">IFERROR(__xludf.DUMMYFUNCTION("""COMPUTED_VALUE"""),0)</f>
        <v>0</v>
      </c>
      <c r="Q13" s="23">
        <f ca="1">IFERROR(__xludf.DUMMYFUNCTION("""COMPUTED_VALUE"""),0)</f>
        <v>0</v>
      </c>
      <c r="R13" s="23">
        <f ca="1">IFERROR(__xludf.DUMMYFUNCTION("""COMPUTED_VALUE"""),0)</f>
        <v>0</v>
      </c>
      <c r="S13" s="23">
        <f ca="1">IFERROR(__xludf.DUMMYFUNCTION("""COMPUTED_VALUE"""),75)</f>
        <v>75</v>
      </c>
    </row>
    <row r="14" spans="1:19">
      <c r="A14" s="23" t="str">
        <f ca="1">IFERROR(__xludf.DUMMYFUNCTION("""COMPUTED_VALUE"""),"ACTUALIZACION DE INSTRUMENTOS PLANEACION")</f>
        <v>ACTUALIZACION DE INSTRUMENTOS PLANEACION</v>
      </c>
      <c r="B14" s="23">
        <f ca="1">IFERROR(__xludf.DUMMYFUNCTION("""COMPUTED_VALUE"""),30)</f>
        <v>30</v>
      </c>
      <c r="C14" s="23" t="str">
        <f ca="1">IFERROR(__xludf.DUMMYFUNCTION("""COMPUTED_VALUE"""),"ACTUALIZACIONES")</f>
        <v>ACTUALIZACIONES</v>
      </c>
      <c r="D14" s="23" t="str">
        <f ca="1">IFERROR(__xludf.DUMMYFUNCTION("""COMPUTED_VALUE"""),"ASCENDENTE")</f>
        <v>ASCENDENTE</v>
      </c>
      <c r="E14" s="23" t="str">
        <f ca="1">IFERROR(__xludf.DUMMYFUNCTION("""COMPUTED_VALUE"""),"BITACORA OPERATIVA")</f>
        <v>BITACORA OPERATIVA</v>
      </c>
      <c r="F14" s="23">
        <f ca="1">IFERROR(__xludf.DUMMYFUNCTION("""COMPUTED_VALUE"""),10)</f>
        <v>10</v>
      </c>
      <c r="G14" s="23">
        <f ca="1">IFERROR(__xludf.DUMMYFUNCTION("""COMPUTED_VALUE"""),1)</f>
        <v>1</v>
      </c>
      <c r="H14" s="23">
        <f ca="1">IFERROR(__xludf.DUMMYFUNCTION("""COMPUTED_VALUE"""),0)</f>
        <v>0</v>
      </c>
      <c r="I14" s="23">
        <f ca="1">IFERROR(__xludf.DUMMYFUNCTION("""COMPUTED_VALUE"""),0)</f>
        <v>0</v>
      </c>
      <c r="J14" s="23">
        <f ca="1">IFERROR(__xludf.DUMMYFUNCTION("""COMPUTED_VALUE"""),1)</f>
        <v>1</v>
      </c>
      <c r="K14" s="23">
        <f ca="1">IFERROR(__xludf.DUMMYFUNCTION("""COMPUTED_VALUE"""),0)</f>
        <v>0</v>
      </c>
      <c r="L14" s="23">
        <f ca="1">IFERROR(__xludf.DUMMYFUNCTION("""COMPUTED_VALUE"""),0)</f>
        <v>0</v>
      </c>
      <c r="M14" s="23">
        <f ca="1">IFERROR(__xludf.DUMMYFUNCTION("""COMPUTED_VALUE"""),0)</f>
        <v>0</v>
      </c>
      <c r="N14" s="23">
        <f ca="1">IFERROR(__xludf.DUMMYFUNCTION("""COMPUTED_VALUE"""),0)</f>
        <v>0</v>
      </c>
      <c r="O14" s="23">
        <f ca="1">IFERROR(__xludf.DUMMYFUNCTION("""COMPUTED_VALUE"""),0)</f>
        <v>0</v>
      </c>
      <c r="P14" s="23">
        <f ca="1">IFERROR(__xludf.DUMMYFUNCTION("""COMPUTED_VALUE"""),0)</f>
        <v>0</v>
      </c>
      <c r="Q14" s="23">
        <f ca="1">IFERROR(__xludf.DUMMYFUNCTION("""COMPUTED_VALUE"""),0)</f>
        <v>0</v>
      </c>
      <c r="R14" s="23">
        <f ca="1">IFERROR(__xludf.DUMMYFUNCTION("""COMPUTED_VALUE"""),0)</f>
        <v>0</v>
      </c>
      <c r="S14" s="23">
        <f ca="1">IFERROR(__xludf.DUMMYFUNCTION("""COMPUTED_VALUE"""),2)</f>
        <v>2</v>
      </c>
    </row>
    <row r="15" spans="1:19">
      <c r="A15" s="23" t="str">
        <f ca="1">IFERROR(__xludf.DUMMYFUNCTION("""COMPUTED_VALUE"""),"ACTUALIZACION DE INSTRUMENTOS SIG")</f>
        <v>ACTUALIZACION DE INSTRUMENTOS SIG</v>
      </c>
      <c r="B15" s="23">
        <f ca="1">IFERROR(__xludf.DUMMYFUNCTION("""COMPUTED_VALUE"""),400)</f>
        <v>400</v>
      </c>
      <c r="C15" s="23" t="str">
        <f ca="1">IFERROR(__xludf.DUMMYFUNCTION("""COMPUTED_VALUE"""),"ACTUALIZACIONES")</f>
        <v>ACTUALIZACIONES</v>
      </c>
      <c r="D15" s="23" t="str">
        <f ca="1">IFERROR(__xludf.DUMMYFUNCTION("""COMPUTED_VALUE"""),"ASCENDENTE")</f>
        <v>ASCENDENTE</v>
      </c>
      <c r="E15" s="23" t="str">
        <f ca="1">IFERROR(__xludf.DUMMYFUNCTION("""COMPUTED_VALUE"""),"BITACORA OPERATIVA")</f>
        <v>BITACORA OPERATIVA</v>
      </c>
      <c r="F15" s="23">
        <f ca="1">IFERROR(__xludf.DUMMYFUNCTION("""COMPUTED_VALUE"""),0)</f>
        <v>0</v>
      </c>
      <c r="G15" s="23">
        <f ca="1">IFERROR(__xludf.DUMMYFUNCTION("""COMPUTED_VALUE"""),0)</f>
        <v>0</v>
      </c>
      <c r="H15" s="23">
        <f ca="1">IFERROR(__xludf.DUMMYFUNCTION("""COMPUTED_VALUE"""),0)</f>
        <v>0</v>
      </c>
      <c r="I15" s="23">
        <f ca="1">IFERROR(__xludf.DUMMYFUNCTION("""COMPUTED_VALUE"""),0)</f>
        <v>0</v>
      </c>
      <c r="J15" s="23">
        <f ca="1">IFERROR(__xludf.DUMMYFUNCTION("""COMPUTED_VALUE"""),0)</f>
        <v>0</v>
      </c>
      <c r="K15" s="23">
        <f ca="1">IFERROR(__xludf.DUMMYFUNCTION("""COMPUTED_VALUE"""),0)</f>
        <v>0</v>
      </c>
      <c r="L15" s="23">
        <f ca="1">IFERROR(__xludf.DUMMYFUNCTION("""COMPUTED_VALUE"""),0)</f>
        <v>0</v>
      </c>
      <c r="M15" s="23">
        <f ca="1">IFERROR(__xludf.DUMMYFUNCTION("""COMPUTED_VALUE"""),0)</f>
        <v>0</v>
      </c>
      <c r="N15" s="23">
        <f ca="1">IFERROR(__xludf.DUMMYFUNCTION("""COMPUTED_VALUE"""),0)</f>
        <v>0</v>
      </c>
      <c r="O15" s="23">
        <f ca="1">IFERROR(__xludf.DUMMYFUNCTION("""COMPUTED_VALUE"""),0)</f>
        <v>0</v>
      </c>
      <c r="P15" s="23">
        <f ca="1">IFERROR(__xludf.DUMMYFUNCTION("""COMPUTED_VALUE"""),0)</f>
        <v>0</v>
      </c>
      <c r="Q15" s="23">
        <f ca="1">IFERROR(__xludf.DUMMYFUNCTION("""COMPUTED_VALUE"""),0)</f>
        <v>0</v>
      </c>
      <c r="R15" s="23">
        <f ca="1">IFERROR(__xludf.DUMMYFUNCTION("""COMPUTED_VALUE"""),0)</f>
        <v>0</v>
      </c>
      <c r="S15" s="23">
        <f ca="1">IFERROR(__xludf.DUMMYFUNCTION("""COMPUTED_VALUE"""),0)</f>
        <v>0</v>
      </c>
    </row>
    <row r="16" spans="1:19">
      <c r="A16" s="23" t="str">
        <f ca="1">IFERROR(__xludf.DUMMYFUNCTION("""COMPUTED_VALUE"""),"DICTAMINACION DE ESPACIOS EXCLUSIVOS")</f>
        <v>DICTAMINACION DE ESPACIOS EXCLUSIVOS</v>
      </c>
      <c r="B16" s="23">
        <f ca="1">IFERROR(__xludf.DUMMYFUNCTION("""COMPUTED_VALUE"""),900)</f>
        <v>900</v>
      </c>
      <c r="C16" s="23" t="str">
        <f ca="1">IFERROR(__xludf.DUMMYFUNCTION("""COMPUTED_VALUE"""),"DICTAMENES REALIZADOS")</f>
        <v>DICTAMENES REALIZADOS</v>
      </c>
      <c r="D16" s="23" t="str">
        <f ca="1">IFERROR(__xludf.DUMMYFUNCTION("""COMPUTED_VALUE"""),"ASCENDENTE")</f>
        <v>ASCENDENTE</v>
      </c>
      <c r="E16" s="23" t="str">
        <f ca="1">IFERROR(__xludf.DUMMYFUNCTION("""COMPUTED_VALUE"""),"BITACORA OPERATIVA")</f>
        <v>BITACORA OPERATIVA</v>
      </c>
      <c r="F16" s="23">
        <f ca="1">IFERROR(__xludf.DUMMYFUNCTION("""COMPUTED_VALUE"""),0)</f>
        <v>0</v>
      </c>
      <c r="G16" s="23">
        <f ca="1">IFERROR(__xludf.DUMMYFUNCTION("""COMPUTED_VALUE"""),0)</f>
        <v>0</v>
      </c>
      <c r="H16" s="23">
        <f ca="1">IFERROR(__xludf.DUMMYFUNCTION("""COMPUTED_VALUE"""),0)</f>
        <v>0</v>
      </c>
      <c r="I16" s="23">
        <f ca="1">IFERROR(__xludf.DUMMYFUNCTION("""COMPUTED_VALUE"""),0)</f>
        <v>0</v>
      </c>
      <c r="J16" s="23">
        <f ca="1">IFERROR(__xludf.DUMMYFUNCTION("""COMPUTED_VALUE"""),0)</f>
        <v>0</v>
      </c>
      <c r="K16" s="23">
        <f ca="1">IFERROR(__xludf.DUMMYFUNCTION("""COMPUTED_VALUE"""),0)</f>
        <v>0</v>
      </c>
      <c r="L16" s="23">
        <f ca="1">IFERROR(__xludf.DUMMYFUNCTION("""COMPUTED_VALUE"""),0)</f>
        <v>0</v>
      </c>
      <c r="M16" s="23">
        <f ca="1">IFERROR(__xludf.DUMMYFUNCTION("""COMPUTED_VALUE"""),0)</f>
        <v>0</v>
      </c>
      <c r="N16" s="23">
        <f ca="1">IFERROR(__xludf.DUMMYFUNCTION("""COMPUTED_VALUE"""),0)</f>
        <v>0</v>
      </c>
      <c r="O16" s="23">
        <f ca="1">IFERROR(__xludf.DUMMYFUNCTION("""COMPUTED_VALUE"""),0)</f>
        <v>0</v>
      </c>
      <c r="P16" s="23">
        <f ca="1">IFERROR(__xludf.DUMMYFUNCTION("""COMPUTED_VALUE"""),0)</f>
        <v>0</v>
      </c>
      <c r="Q16" s="23">
        <f ca="1">IFERROR(__xludf.DUMMYFUNCTION("""COMPUTED_VALUE"""),0)</f>
        <v>0</v>
      </c>
      <c r="R16" s="23">
        <f ca="1">IFERROR(__xludf.DUMMYFUNCTION("""COMPUTED_VALUE"""),0)</f>
        <v>0</v>
      </c>
      <c r="S16" s="23">
        <f ca="1">IFERROR(__xludf.DUMMYFUNCTION("""COMPUTED_VALUE"""),0)</f>
        <v>0</v>
      </c>
    </row>
    <row r="17" spans="1:19">
      <c r="A17" s="23" t="str">
        <f ca="1">IFERROR(__xludf.DUMMYFUNCTION("""COMPUTED_VALUE"""),"SEGUIMIENTO DE REPORTES ACCESIBILIDAD UNIVERSAL")</f>
        <v>SEGUIMIENTO DE REPORTES ACCESIBILIDAD UNIVERSAL</v>
      </c>
      <c r="B17" s="23">
        <f ca="1">IFERROR(__xludf.DUMMYFUNCTION("""COMPUTED_VALUE"""),1060)</f>
        <v>1060</v>
      </c>
      <c r="C17" s="23" t="str">
        <f ca="1">IFERROR(__xludf.DUMMYFUNCTION("""COMPUTED_VALUE"""),"REPORTES REALIZADOS")</f>
        <v>REPORTES REALIZADOS</v>
      </c>
      <c r="D17" s="23" t="str">
        <f ca="1">IFERROR(__xludf.DUMMYFUNCTION("""COMPUTED_VALUE"""),"ASCENDENTE")</f>
        <v>ASCENDENTE</v>
      </c>
      <c r="E17" s="23" t="str">
        <f ca="1">IFERROR(__xludf.DUMMYFUNCTION("""COMPUTED_VALUE"""),"BITACORA OPERATIVA")</f>
        <v>BITACORA OPERATIVA</v>
      </c>
      <c r="F17" s="23">
        <f ca="1">IFERROR(__xludf.DUMMYFUNCTION("""COMPUTED_VALUE"""),0)</f>
        <v>0</v>
      </c>
      <c r="G17" s="23">
        <f ca="1">IFERROR(__xludf.DUMMYFUNCTION("""COMPUTED_VALUE"""),0)</f>
        <v>0</v>
      </c>
      <c r="H17" s="23">
        <f ca="1">IFERROR(__xludf.DUMMYFUNCTION("""COMPUTED_VALUE"""),0)</f>
        <v>0</v>
      </c>
      <c r="I17" s="23">
        <f ca="1">IFERROR(__xludf.DUMMYFUNCTION("""COMPUTED_VALUE"""),0)</f>
        <v>0</v>
      </c>
      <c r="J17" s="23">
        <f ca="1">IFERROR(__xludf.DUMMYFUNCTION("""COMPUTED_VALUE"""),0)</f>
        <v>0</v>
      </c>
      <c r="K17" s="23">
        <f ca="1">IFERROR(__xludf.DUMMYFUNCTION("""COMPUTED_VALUE"""),0)</f>
        <v>0</v>
      </c>
      <c r="L17" s="23">
        <f ca="1">IFERROR(__xludf.DUMMYFUNCTION("""COMPUTED_VALUE"""),0)</f>
        <v>0</v>
      </c>
      <c r="M17" s="23">
        <f ca="1">IFERROR(__xludf.DUMMYFUNCTION("""COMPUTED_VALUE"""),0)</f>
        <v>0</v>
      </c>
      <c r="N17" s="23">
        <f ca="1">IFERROR(__xludf.DUMMYFUNCTION("""COMPUTED_VALUE"""),0)</f>
        <v>0</v>
      </c>
      <c r="O17" s="23">
        <f ca="1">IFERROR(__xludf.DUMMYFUNCTION("""COMPUTED_VALUE"""),0)</f>
        <v>0</v>
      </c>
      <c r="P17" s="23">
        <f ca="1">IFERROR(__xludf.DUMMYFUNCTION("""COMPUTED_VALUE"""),0)</f>
        <v>0</v>
      </c>
      <c r="Q17" s="23">
        <f ca="1">IFERROR(__xludf.DUMMYFUNCTION("""COMPUTED_VALUE"""),0)</f>
        <v>0</v>
      </c>
      <c r="R17" s="23">
        <f ca="1">IFERROR(__xludf.DUMMYFUNCTION("""COMPUTED_VALUE"""),0)</f>
        <v>0</v>
      </c>
      <c r="S17" s="23">
        <f ca="1">IFERROR(__xludf.DUMMYFUNCTION("""COMPUTED_VALUE"""),0)</f>
        <v>0</v>
      </c>
    </row>
    <row r="18" spans="1:19">
      <c r="A18" s="2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</row>
    <row r="19" spans="1:19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</row>
    <row r="20" spans="1:19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</row>
    <row r="21" spans="1:19">
      <c r="A21" s="23"/>
      <c r="B21" s="23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</row>
    <row r="22" spans="1:19">
      <c r="A22" s="23"/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</row>
    <row r="23" spans="1:19">
      <c r="A23" s="23"/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</row>
    <row r="24" spans="1:19">
      <c r="A24" s="23"/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</row>
    <row r="25" spans="1:19">
      <c r="A25" s="23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</row>
    <row r="26" spans="1:19">
      <c r="A26" s="23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</row>
    <row r="27" spans="1:19">
      <c r="A27" s="23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</row>
    <row r="28" spans="1:19">
      <c r="A28" s="23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</row>
    <row r="29" spans="1:19">
      <c r="A29" s="23"/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</row>
    <row r="30" spans="1:19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</row>
    <row r="31" spans="1:19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</row>
    <row r="32" spans="1:19">
      <c r="A32" s="23"/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</row>
    <row r="33" spans="1:19">
      <c r="A33" s="23"/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</row>
    <row r="34" spans="1:19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</row>
    <row r="35" spans="1:19">
      <c r="A35" s="23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</row>
    <row r="36" spans="1:19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</row>
    <row r="37" spans="1:19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</row>
    <row r="38" spans="1:19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</row>
    <row r="39" spans="1:19">
      <c r="A39" s="23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</row>
    <row r="41" spans="1:19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</row>
    <row r="42" spans="1:19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</row>
    <row r="43" spans="1:19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</row>
    <row r="44" spans="1:19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</row>
    <row r="45" spans="1:19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</row>
    <row r="46" spans="1:19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</row>
    <row r="47" spans="1:19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</row>
    <row r="48" spans="1:19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</row>
    <row r="49" spans="1:19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</row>
    <row r="50" spans="1:19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</row>
    <row r="51" spans="1:19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</row>
    <row r="52" spans="1:19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</row>
    <row r="53" spans="1:19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</row>
    <row r="54" spans="1:19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</row>
    <row r="55" spans="1:19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</row>
    <row r="56" spans="1:19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</row>
    <row r="57" spans="1:19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</row>
    <row r="58" spans="1:19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</row>
    <row r="59" spans="1:19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</row>
    <row r="60" spans="1:19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</row>
    <row r="61" spans="1:19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</row>
    <row r="62" spans="1:19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</row>
    <row r="63" spans="1:19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</row>
    <row r="64" spans="1:19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</row>
    <row r="65" spans="1:19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</row>
    <row r="66" spans="1:19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</row>
    <row r="67" spans="1:19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</row>
    <row r="68" spans="1:19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</row>
    <row r="69" spans="1:19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</row>
    <row r="70" spans="1:19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</row>
    <row r="71" spans="1:19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</row>
    <row r="72" spans="1:19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</row>
    <row r="73" spans="1:19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</row>
    <row r="74" spans="1:19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</row>
    <row r="75" spans="1:19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</row>
    <row r="76" spans="1:19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</row>
    <row r="77" spans="1:19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</row>
    <row r="78" spans="1:19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</row>
    <row r="79" spans="1:19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</row>
    <row r="80" spans="1:19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</row>
    <row r="81" spans="1:19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</row>
    <row r="82" spans="1:19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</row>
    <row r="83" spans="1:19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</row>
    <row r="84" spans="1:19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</row>
    <row r="85" spans="1:19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</row>
    <row r="86" spans="1:19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</row>
    <row r="87" spans="1:19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</row>
    <row r="88" spans="1:19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</row>
    <row r="89" spans="1:19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</row>
    <row r="90" spans="1:19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</row>
    <row r="91" spans="1:19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</row>
    <row r="92" spans="1:19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</row>
    <row r="93" spans="1:19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</row>
    <row r="94" spans="1:19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</row>
    <row r="95" spans="1:19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</row>
    <row r="96" spans="1:19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</row>
    <row r="97" spans="1:19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</row>
    <row r="98" spans="1:19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</row>
    <row r="99" spans="1:19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</row>
    <row r="100" spans="1:19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</row>
    <row r="101" spans="1:19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</row>
    <row r="102" spans="1:19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</row>
    <row r="103" spans="1:19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</row>
    <row r="104" spans="1:19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</row>
    <row r="105" spans="1:19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</row>
    <row r="106" spans="1:19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</row>
    <row r="107" spans="1:19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</row>
    <row r="108" spans="1:19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</row>
    <row r="109" spans="1:19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</row>
    <row r="110" spans="1:19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</row>
    <row r="111" spans="1:19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</row>
    <row r="112" spans="1:19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</row>
    <row r="113" spans="1:19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</row>
    <row r="114" spans="1:19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</row>
    <row r="115" spans="1:19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</row>
    <row r="116" spans="1:19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</row>
    <row r="117" spans="1:19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</row>
    <row r="118" spans="1:19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</row>
    <row r="119" spans="1:19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</row>
    <row r="120" spans="1:19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</row>
    <row r="121" spans="1:19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</row>
    <row r="122" spans="1:19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</row>
    <row r="123" spans="1:19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</row>
    <row r="124" spans="1:19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</row>
    <row r="125" spans="1:19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</row>
    <row r="126" spans="1:19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</row>
    <row r="127" spans="1:19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</row>
    <row r="128" spans="1:19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</row>
    <row r="129" spans="1:19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</row>
    <row r="130" spans="1:19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</row>
    <row r="131" spans="1:19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</row>
    <row r="132" spans="1:19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</row>
    <row r="133" spans="1:19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</row>
    <row r="134" spans="1:19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</row>
    <row r="135" spans="1:19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</row>
    <row r="136" spans="1:19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</row>
    <row r="137" spans="1:19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</row>
    <row r="138" spans="1:19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</row>
    <row r="139" spans="1:19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</row>
    <row r="140" spans="1:19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</row>
    <row r="141" spans="1:19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</row>
    <row r="142" spans="1:19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</row>
    <row r="143" spans="1:19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</row>
    <row r="144" spans="1:19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</row>
    <row r="145" spans="1:19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</row>
    <row r="146" spans="1:19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</row>
    <row r="147" spans="1:19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</row>
    <row r="148" spans="1:19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</row>
    <row r="149" spans="1:19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</row>
    <row r="150" spans="1:19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</row>
    <row r="151" spans="1:19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</row>
    <row r="152" spans="1:19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</row>
    <row r="153" spans="1:19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</row>
    <row r="154" spans="1:19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</row>
    <row r="155" spans="1:19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</row>
    <row r="156" spans="1:19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</row>
    <row r="157" spans="1:19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</row>
    <row r="158" spans="1:19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</row>
    <row r="159" spans="1:19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</row>
    <row r="160" spans="1:19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</row>
    <row r="161" spans="1:19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</row>
    <row r="162" spans="1:19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</row>
    <row r="163" spans="1:19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</row>
    <row r="164" spans="1:19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</row>
    <row r="165" spans="1:19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</row>
    <row r="166" spans="1:19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</row>
    <row r="167" spans="1:19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</row>
    <row r="168" spans="1:19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</row>
    <row r="169" spans="1:19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</row>
    <row r="170" spans="1:19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</row>
    <row r="171" spans="1:19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</row>
    <row r="172" spans="1:19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</row>
    <row r="173" spans="1:19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</row>
    <row r="174" spans="1:19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</row>
    <row r="175" spans="1:19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</row>
    <row r="176" spans="1:19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</row>
    <row r="177" spans="1:19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</row>
    <row r="178" spans="1:19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</row>
    <row r="179" spans="1:19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</row>
    <row r="180" spans="1:19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</row>
    <row r="181" spans="1:19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</row>
    <row r="182" spans="1:19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</row>
    <row r="183" spans="1:19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</row>
    <row r="184" spans="1:19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</row>
    <row r="185" spans="1:19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</row>
    <row r="186" spans="1:19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</row>
    <row r="187" spans="1:19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</row>
    <row r="188" spans="1:19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</row>
    <row r="189" spans="1:19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</row>
    <row r="190" spans="1:19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</row>
    <row r="191" spans="1:19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</row>
    <row r="192" spans="1:19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</row>
    <row r="193" spans="1:19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</row>
    <row r="194" spans="1:19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</row>
    <row r="195" spans="1:19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</row>
    <row r="196" spans="1:19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</row>
    <row r="197" spans="1:19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</row>
    <row r="198" spans="1:19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</row>
    <row r="199" spans="1:19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</row>
    <row r="200" spans="1:19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</row>
    <row r="201" spans="1:19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</row>
    <row r="202" spans="1:19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</row>
    <row r="203" spans="1:19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</row>
    <row r="204" spans="1:19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</row>
    <row r="205" spans="1:19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</row>
    <row r="206" spans="1:19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</row>
    <row r="207" spans="1:19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</row>
    <row r="208" spans="1:19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</row>
    <row r="209" spans="1:19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</row>
    <row r="210" spans="1:19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</row>
    <row r="211" spans="1:19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</row>
    <row r="212" spans="1:19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</row>
    <row r="213" spans="1:19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</row>
    <row r="214" spans="1:19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</row>
    <row r="215" spans="1:19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</row>
    <row r="216" spans="1:19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</row>
    <row r="217" spans="1:19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</row>
    <row r="218" spans="1:19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</row>
    <row r="219" spans="1:19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</row>
    <row r="220" spans="1:19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</row>
    <row r="221" spans="1:19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</row>
    <row r="222" spans="1:19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</row>
    <row r="223" spans="1:19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</row>
    <row r="224" spans="1:19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</row>
    <row r="225" spans="1:19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</row>
    <row r="226" spans="1:19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</row>
    <row r="227" spans="1:19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</row>
    <row r="228" spans="1:19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</row>
    <row r="229" spans="1:19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</row>
    <row r="230" spans="1:19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</row>
    <row r="231" spans="1:19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</row>
    <row r="232" spans="1:19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</row>
    <row r="233" spans="1:19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</row>
    <row r="234" spans="1:19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</row>
    <row r="235" spans="1:19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</row>
    <row r="236" spans="1:19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</row>
    <row r="237" spans="1:19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</row>
    <row r="238" spans="1:19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</row>
    <row r="239" spans="1:19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</row>
    <row r="240" spans="1:19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</row>
    <row r="241" spans="1:19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</row>
    <row r="242" spans="1:19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</row>
    <row r="243" spans="1:19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</row>
    <row r="244" spans="1:19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</row>
    <row r="245" spans="1:19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</row>
    <row r="246" spans="1:19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</row>
    <row r="247" spans="1:19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</row>
    <row r="248" spans="1:19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</row>
    <row r="249" spans="1:19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</row>
    <row r="250" spans="1:19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</row>
    <row r="251" spans="1:19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</row>
    <row r="252" spans="1:19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</row>
    <row r="253" spans="1:19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</row>
    <row r="254" spans="1:19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</row>
    <row r="255" spans="1:19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</row>
    <row r="256" spans="1:19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</row>
    <row r="257" spans="1:19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</row>
    <row r="258" spans="1:19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</row>
    <row r="259" spans="1:19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</row>
    <row r="260" spans="1:19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</row>
    <row r="261" spans="1:19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</row>
    <row r="262" spans="1:19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</row>
    <row r="263" spans="1:19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</row>
    <row r="264" spans="1:19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</row>
    <row r="265" spans="1:19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</row>
    <row r="266" spans="1:19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</row>
    <row r="267" spans="1:19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</row>
    <row r="268" spans="1:19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</row>
    <row r="269" spans="1:19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</row>
    <row r="270" spans="1:19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</row>
    <row r="271" spans="1:19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</row>
    <row r="272" spans="1:19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</row>
    <row r="273" spans="1:19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</row>
    <row r="274" spans="1:19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</row>
    <row r="275" spans="1:19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</row>
    <row r="276" spans="1:19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</row>
    <row r="277" spans="1:19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</row>
    <row r="278" spans="1:19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</row>
    <row r="279" spans="1:19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</row>
    <row r="280" spans="1:19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</row>
    <row r="281" spans="1:19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</row>
    <row r="282" spans="1:19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</row>
    <row r="283" spans="1:19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</row>
    <row r="284" spans="1:19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</row>
    <row r="285" spans="1:19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</row>
    <row r="286" spans="1:19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</row>
    <row r="287" spans="1:19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</row>
    <row r="288" spans="1:19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</row>
    <row r="289" spans="1:19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</row>
    <row r="290" spans="1:19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</row>
    <row r="291" spans="1:19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</row>
    <row r="292" spans="1:19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</row>
    <row r="293" spans="1:19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</row>
    <row r="294" spans="1:19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</row>
    <row r="295" spans="1:19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</row>
    <row r="296" spans="1:19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</row>
    <row r="297" spans="1:19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</row>
    <row r="298" spans="1:19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</row>
    <row r="299" spans="1:19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</row>
    <row r="300" spans="1:19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</row>
    <row r="301" spans="1:19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</row>
    <row r="302" spans="1:19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</row>
    <row r="303" spans="1:19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</row>
    <row r="304" spans="1:19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</row>
    <row r="305" spans="1:19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</row>
    <row r="306" spans="1:19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</row>
    <row r="307" spans="1:19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</row>
    <row r="308" spans="1:19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</row>
    <row r="309" spans="1:19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</row>
    <row r="310" spans="1:19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</row>
    <row r="311" spans="1:19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</row>
    <row r="312" spans="1:19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</row>
    <row r="313" spans="1:19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</row>
    <row r="314" spans="1:19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</row>
    <row r="315" spans="1:19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</row>
    <row r="316" spans="1:19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</row>
    <row r="317" spans="1:19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</row>
    <row r="318" spans="1:19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</row>
    <row r="319" spans="1:19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</row>
    <row r="320" spans="1:19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</row>
    <row r="321" spans="1:19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</row>
    <row r="322" spans="1:19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</row>
    <row r="323" spans="1:19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</row>
    <row r="324" spans="1:19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</row>
    <row r="325" spans="1:19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</row>
    <row r="326" spans="1:19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</row>
    <row r="327" spans="1:19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</row>
    <row r="328" spans="1:19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</row>
    <row r="329" spans="1:19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</row>
    <row r="330" spans="1:19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</row>
    <row r="331" spans="1:19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</row>
    <row r="332" spans="1:19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</row>
    <row r="333" spans="1:19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</row>
    <row r="334" spans="1:19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</row>
    <row r="335" spans="1:19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</row>
    <row r="336" spans="1:19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</row>
    <row r="337" spans="1:19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</row>
    <row r="338" spans="1:19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</row>
    <row r="339" spans="1:19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</row>
    <row r="340" spans="1:19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</row>
    <row r="341" spans="1:19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</row>
    <row r="342" spans="1:19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</row>
    <row r="343" spans="1:19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</row>
    <row r="344" spans="1:19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</row>
    <row r="345" spans="1:19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</row>
    <row r="346" spans="1:19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</row>
    <row r="347" spans="1:19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</row>
    <row r="348" spans="1:19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</row>
    <row r="349" spans="1:19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</row>
    <row r="350" spans="1:19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</row>
    <row r="351" spans="1:19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</row>
    <row r="352" spans="1:19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</row>
    <row r="353" spans="1:19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</row>
    <row r="354" spans="1:19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</row>
    <row r="355" spans="1:19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</row>
    <row r="356" spans="1:19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</row>
    <row r="357" spans="1:19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</row>
    <row r="358" spans="1:19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</row>
    <row r="359" spans="1:19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</row>
    <row r="360" spans="1:19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</row>
    <row r="361" spans="1:19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</row>
    <row r="362" spans="1:19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</row>
    <row r="363" spans="1:19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</row>
    <row r="364" spans="1:19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</row>
    <row r="365" spans="1:19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</row>
    <row r="366" spans="1:19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</row>
    <row r="367" spans="1:19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</row>
    <row r="368" spans="1:19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</row>
    <row r="369" spans="1:19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</row>
    <row r="370" spans="1:19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</row>
    <row r="371" spans="1:19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</row>
    <row r="372" spans="1:19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</row>
    <row r="373" spans="1:19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</row>
    <row r="374" spans="1:19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</row>
    <row r="375" spans="1:19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</row>
    <row r="376" spans="1:19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</row>
    <row r="377" spans="1:19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</row>
    <row r="378" spans="1:19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</row>
    <row r="379" spans="1:19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</row>
    <row r="380" spans="1:19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</row>
    <row r="381" spans="1:19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</row>
    <row r="382" spans="1:19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</row>
    <row r="383" spans="1:19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</row>
    <row r="384" spans="1:19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</row>
    <row r="385" spans="1:19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</row>
    <row r="386" spans="1:19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</row>
    <row r="387" spans="1:19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</row>
    <row r="388" spans="1:19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</row>
    <row r="389" spans="1:19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</row>
    <row r="390" spans="1:19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</row>
    <row r="391" spans="1:19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</row>
    <row r="392" spans="1:19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</row>
    <row r="393" spans="1:19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</row>
    <row r="394" spans="1:19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</row>
    <row r="395" spans="1:19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</row>
    <row r="396" spans="1:19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</row>
    <row r="397" spans="1:19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</row>
    <row r="398" spans="1:19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</row>
    <row r="399" spans="1:19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</row>
    <row r="400" spans="1:19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</row>
    <row r="401" spans="1:19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</row>
    <row r="402" spans="1:19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</row>
    <row r="403" spans="1:19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</row>
    <row r="404" spans="1:19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</row>
    <row r="405" spans="1:19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</row>
    <row r="406" spans="1:19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</row>
    <row r="407" spans="1:19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</row>
    <row r="408" spans="1:19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</row>
    <row r="409" spans="1:19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</row>
    <row r="410" spans="1:19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</row>
    <row r="411" spans="1:19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</row>
    <row r="412" spans="1:19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</row>
    <row r="413" spans="1:19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</row>
    <row r="414" spans="1:19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</row>
    <row r="415" spans="1:19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</row>
    <row r="416" spans="1:19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</row>
    <row r="417" spans="1:19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</row>
    <row r="418" spans="1:19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</row>
    <row r="419" spans="1:19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</row>
    <row r="420" spans="1:19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</row>
    <row r="421" spans="1:19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</row>
    <row r="422" spans="1:19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</row>
    <row r="423" spans="1:19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</row>
    <row r="424" spans="1:19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</row>
    <row r="425" spans="1:19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</row>
    <row r="426" spans="1:19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</row>
    <row r="427" spans="1:19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</row>
    <row r="428" spans="1:19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</row>
    <row r="429" spans="1:19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</row>
    <row r="430" spans="1:19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</row>
    <row r="431" spans="1:19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</row>
    <row r="432" spans="1:19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</row>
    <row r="433" spans="1:19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</row>
    <row r="434" spans="1:19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</row>
    <row r="435" spans="1:19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</row>
    <row r="436" spans="1:19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</row>
    <row r="437" spans="1:19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</row>
    <row r="438" spans="1:19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</row>
    <row r="439" spans="1:19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</row>
    <row r="440" spans="1:19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</row>
    <row r="441" spans="1:19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</row>
    <row r="442" spans="1:19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</row>
    <row r="443" spans="1:19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</row>
    <row r="444" spans="1:19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</row>
    <row r="445" spans="1:19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</row>
    <row r="446" spans="1:19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</row>
    <row r="447" spans="1:19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</row>
    <row r="448" spans="1:19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</row>
    <row r="449" spans="1:19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</row>
    <row r="450" spans="1:19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</row>
    <row r="451" spans="1:19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</row>
    <row r="452" spans="1:19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</row>
    <row r="453" spans="1:19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</row>
    <row r="454" spans="1:19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</row>
    <row r="455" spans="1:19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</row>
    <row r="456" spans="1:19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</row>
    <row r="457" spans="1:19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</row>
    <row r="458" spans="1:19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</row>
    <row r="459" spans="1:19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</row>
    <row r="460" spans="1:19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</row>
    <row r="461" spans="1:19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</row>
    <row r="462" spans="1:19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</row>
    <row r="463" spans="1:19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</row>
    <row r="464" spans="1:19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</row>
    <row r="465" spans="1:19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</row>
    <row r="466" spans="1:19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</row>
    <row r="467" spans="1:19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</row>
    <row r="468" spans="1:19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</row>
    <row r="469" spans="1:19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</row>
    <row r="470" spans="1:19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</row>
    <row r="471" spans="1:19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</row>
    <row r="472" spans="1:19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</row>
    <row r="473" spans="1:19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</row>
    <row r="474" spans="1:19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</row>
    <row r="475" spans="1:19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</row>
    <row r="476" spans="1:19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</row>
    <row r="477" spans="1:19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</row>
    <row r="478" spans="1:19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</row>
    <row r="479" spans="1:19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</row>
    <row r="480" spans="1:19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</row>
    <row r="481" spans="1:19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</row>
    <row r="482" spans="1:19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</row>
    <row r="483" spans="1:19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</row>
    <row r="484" spans="1:19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</row>
    <row r="485" spans="1:19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</row>
    <row r="486" spans="1:19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</row>
    <row r="487" spans="1:19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</row>
    <row r="488" spans="1:19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</row>
    <row r="489" spans="1:19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</row>
    <row r="490" spans="1:19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</row>
    <row r="491" spans="1:19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</row>
    <row r="492" spans="1:19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</row>
    <row r="493" spans="1:19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</row>
    <row r="494" spans="1:19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</row>
    <row r="495" spans="1:19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</row>
    <row r="496" spans="1:19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</row>
    <row r="497" spans="1:19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</row>
    <row r="498" spans="1:19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</row>
    <row r="499" spans="1:19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</row>
    <row r="500" spans="1:19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</row>
    <row r="501" spans="1:19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</row>
    <row r="502" spans="1:19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</row>
    <row r="503" spans="1:19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</row>
    <row r="504" spans="1:19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</row>
    <row r="505" spans="1:19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</row>
    <row r="506" spans="1:19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</row>
    <row r="507" spans="1:19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</row>
    <row r="508" spans="1:19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</row>
    <row r="509" spans="1:19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</row>
    <row r="510" spans="1:19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</row>
    <row r="511" spans="1:19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</row>
    <row r="512" spans="1:19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</row>
    <row r="513" spans="1:19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</row>
    <row r="514" spans="1:19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</row>
    <row r="515" spans="1:19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</row>
    <row r="516" spans="1:19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</row>
    <row r="517" spans="1:19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</row>
    <row r="518" spans="1:19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</row>
    <row r="519" spans="1:19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</row>
    <row r="520" spans="1:19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</row>
    <row r="521" spans="1:19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</row>
    <row r="522" spans="1:19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</row>
    <row r="523" spans="1:19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</row>
    <row r="524" spans="1:19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</row>
    <row r="525" spans="1:19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</row>
    <row r="526" spans="1:19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</row>
    <row r="527" spans="1:19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</row>
    <row r="528" spans="1:19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</row>
    <row r="529" spans="1:19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</row>
    <row r="530" spans="1:19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</row>
    <row r="531" spans="1:19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</row>
    <row r="532" spans="1:19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</row>
    <row r="533" spans="1:19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</row>
    <row r="534" spans="1:19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</row>
    <row r="535" spans="1:19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</row>
    <row r="536" spans="1:19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</row>
    <row r="537" spans="1:19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</row>
    <row r="538" spans="1:19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</row>
    <row r="539" spans="1:19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</row>
    <row r="540" spans="1:19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</row>
    <row r="541" spans="1:19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</row>
    <row r="542" spans="1:19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</row>
    <row r="543" spans="1:19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</row>
    <row r="544" spans="1:19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</row>
    <row r="545" spans="1:19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</row>
    <row r="546" spans="1:19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</row>
    <row r="547" spans="1:19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</row>
    <row r="548" spans="1:19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</row>
    <row r="549" spans="1:19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</row>
    <row r="550" spans="1:19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</row>
    <row r="551" spans="1:19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</row>
    <row r="552" spans="1:19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</row>
    <row r="553" spans="1:19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</row>
    <row r="554" spans="1:19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</row>
    <row r="555" spans="1:19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</row>
    <row r="556" spans="1:19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</row>
    <row r="557" spans="1:19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</row>
    <row r="558" spans="1:19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</row>
    <row r="559" spans="1:19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</row>
    <row r="560" spans="1:19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</row>
    <row r="561" spans="1:19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</row>
    <row r="562" spans="1:19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</row>
    <row r="563" spans="1:19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</row>
    <row r="564" spans="1:19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</row>
    <row r="565" spans="1:19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</row>
    <row r="566" spans="1:19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</row>
    <row r="567" spans="1:19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</row>
    <row r="568" spans="1:19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</row>
    <row r="569" spans="1:19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</row>
    <row r="570" spans="1:19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</row>
    <row r="571" spans="1:19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</row>
    <row r="572" spans="1:19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</row>
    <row r="573" spans="1:19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</row>
    <row r="574" spans="1:19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</row>
    <row r="575" spans="1:19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</row>
    <row r="576" spans="1:19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</row>
    <row r="577" spans="1:19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</row>
    <row r="578" spans="1:19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</row>
    <row r="579" spans="1:19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</row>
    <row r="580" spans="1:19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</row>
    <row r="581" spans="1:19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</row>
    <row r="582" spans="1:19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</row>
    <row r="583" spans="1:19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</row>
    <row r="584" spans="1:19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</row>
    <row r="585" spans="1:19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</row>
    <row r="586" spans="1:19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</row>
    <row r="587" spans="1:19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</row>
    <row r="588" spans="1:19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</row>
    <row r="589" spans="1:19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</row>
    <row r="590" spans="1:19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</row>
    <row r="591" spans="1:19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</row>
    <row r="592" spans="1:19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</row>
    <row r="593" spans="1:19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</row>
    <row r="594" spans="1:19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</row>
    <row r="595" spans="1:19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</row>
    <row r="596" spans="1:19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</row>
    <row r="597" spans="1:19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</row>
    <row r="598" spans="1:19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</row>
    <row r="599" spans="1:19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</row>
    <row r="600" spans="1:19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</row>
    <row r="601" spans="1:19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</row>
    <row r="602" spans="1:19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</row>
    <row r="603" spans="1:19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</row>
    <row r="604" spans="1:19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</row>
    <row r="605" spans="1:19">
      <c r="A605" s="23"/>
      <c r="B605" s="23"/>
      <c r="C605" s="23"/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</row>
    <row r="606" spans="1:19">
      <c r="A606" s="23"/>
      <c r="B606" s="23"/>
      <c r="C606" s="23"/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</row>
    <row r="607" spans="1:19">
      <c r="A607" s="23"/>
      <c r="B607" s="23"/>
      <c r="C607" s="23"/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</row>
    <row r="608" spans="1:19">
      <c r="A608" s="23"/>
      <c r="B608" s="23"/>
      <c r="C608" s="23"/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</row>
    <row r="609" spans="1:19">
      <c r="A609" s="23"/>
      <c r="B609" s="23"/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</row>
    <row r="610" spans="1:19">
      <c r="A610" s="23"/>
      <c r="B610" s="23"/>
      <c r="C610" s="23"/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</row>
    <row r="611" spans="1:19">
      <c r="A611" s="23"/>
      <c r="B611" s="23"/>
      <c r="C611" s="23"/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</row>
    <row r="612" spans="1:19">
      <c r="A612" s="23"/>
      <c r="B612" s="23"/>
      <c r="C612" s="23"/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</row>
    <row r="613" spans="1:19">
      <c r="A613" s="23"/>
      <c r="B613" s="23"/>
      <c r="C613" s="23"/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</row>
    <row r="614" spans="1:19">
      <c r="A614" s="23"/>
      <c r="B614" s="23"/>
      <c r="C614" s="23"/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</row>
    <row r="615" spans="1:19">
      <c r="A615" s="23"/>
      <c r="B615" s="23"/>
      <c r="C615" s="23"/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</row>
    <row r="616" spans="1:19">
      <c r="A616" s="23"/>
      <c r="B616" s="23"/>
      <c r="C616" s="23"/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</row>
    <row r="617" spans="1:19">
      <c r="A617" s="23"/>
      <c r="B617" s="23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</row>
    <row r="618" spans="1:19">
      <c r="A618" s="23"/>
      <c r="B618" s="23"/>
      <c r="C618" s="23"/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</row>
    <row r="619" spans="1:19">
      <c r="A619" s="23"/>
      <c r="B619" s="23"/>
      <c r="C619" s="23"/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</row>
    <row r="620" spans="1:19">
      <c r="A620" s="23"/>
      <c r="B620" s="23"/>
      <c r="C620" s="23"/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</row>
    <row r="621" spans="1:19">
      <c r="A621" s="23"/>
      <c r="B621" s="23"/>
      <c r="C621" s="23"/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</row>
    <row r="622" spans="1:19">
      <c r="A622" s="23"/>
      <c r="B622" s="23"/>
      <c r="C622" s="23"/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</row>
    <row r="623" spans="1:19">
      <c r="A623" s="23"/>
      <c r="B623" s="23"/>
      <c r="C623" s="23"/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</row>
    <row r="624" spans="1:19">
      <c r="A624" s="23"/>
      <c r="B624" s="23"/>
      <c r="C624" s="23"/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</row>
    <row r="625" spans="1:19">
      <c r="A625" s="23"/>
      <c r="B625" s="23"/>
      <c r="C625" s="23"/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</row>
    <row r="626" spans="1:19">
      <c r="A626" s="23"/>
      <c r="B626" s="23"/>
      <c r="C626" s="23"/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</row>
    <row r="627" spans="1:19">
      <c r="A627" s="23"/>
      <c r="B627" s="23"/>
      <c r="C627" s="23"/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</row>
    <row r="628" spans="1:19">
      <c r="A628" s="23"/>
      <c r="B628" s="23"/>
      <c r="C628" s="23"/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</row>
    <row r="629" spans="1:19">
      <c r="A629" s="23"/>
      <c r="B629" s="23"/>
      <c r="C629" s="23"/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</row>
    <row r="630" spans="1:19">
      <c r="A630" s="23"/>
      <c r="B630" s="23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</row>
    <row r="631" spans="1:19">
      <c r="A631" s="23"/>
      <c r="B631" s="23"/>
      <c r="C631" s="23"/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</row>
    <row r="632" spans="1:19">
      <c r="A632" s="23"/>
      <c r="B632" s="23"/>
      <c r="C632" s="23"/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</row>
    <row r="633" spans="1:19">
      <c r="A633" s="23"/>
      <c r="B633" s="23"/>
      <c r="C633" s="23"/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</row>
    <row r="634" spans="1:19">
      <c r="A634" s="23"/>
      <c r="B634" s="23"/>
      <c r="C634" s="23"/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</row>
    <row r="635" spans="1:19">
      <c r="A635" s="23"/>
      <c r="B635" s="23"/>
      <c r="C635" s="23"/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</row>
    <row r="636" spans="1:19">
      <c r="A636" s="23"/>
      <c r="B636" s="23"/>
      <c r="C636" s="23"/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</row>
    <row r="637" spans="1:19">
      <c r="A637" s="23"/>
      <c r="B637" s="23"/>
      <c r="C637" s="23"/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</row>
    <row r="638" spans="1:19">
      <c r="A638" s="23"/>
      <c r="B638" s="23"/>
      <c r="C638" s="23"/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</row>
    <row r="639" spans="1:19">
      <c r="A639" s="23"/>
      <c r="B639" s="23"/>
      <c r="C639" s="23"/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</row>
    <row r="640" spans="1:19">
      <c r="A640" s="23"/>
      <c r="B640" s="23"/>
      <c r="C640" s="23"/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</row>
    <row r="641" spans="1:19">
      <c r="A641" s="23"/>
      <c r="B641" s="23"/>
      <c r="C641" s="23"/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</row>
    <row r="642" spans="1:19">
      <c r="A642" s="23"/>
      <c r="B642" s="23"/>
      <c r="C642" s="23"/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</row>
    <row r="643" spans="1:19">
      <c r="A643" s="23"/>
      <c r="B643" s="23"/>
      <c r="C643" s="23"/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</row>
    <row r="644" spans="1:19">
      <c r="A644" s="23"/>
      <c r="B644" s="23"/>
      <c r="C644" s="23"/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</row>
    <row r="645" spans="1:19">
      <c r="A645" s="23"/>
      <c r="B645" s="23"/>
      <c r="C645" s="23"/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</row>
    <row r="646" spans="1:19">
      <c r="A646" s="23"/>
      <c r="B646" s="23"/>
      <c r="C646" s="23"/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</row>
    <row r="647" spans="1:19">
      <c r="A647" s="23"/>
      <c r="B647" s="23"/>
      <c r="C647" s="23"/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</row>
    <row r="648" spans="1:19">
      <c r="A648" s="23"/>
      <c r="B648" s="23"/>
      <c r="C648" s="23"/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</row>
    <row r="649" spans="1:19">
      <c r="A649" s="23"/>
      <c r="B649" s="23"/>
      <c r="C649" s="23"/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</row>
    <row r="650" spans="1:19">
      <c r="A650" s="23"/>
      <c r="B650" s="23"/>
      <c r="C650" s="23"/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</row>
    <row r="651" spans="1:19">
      <c r="A651" s="23"/>
      <c r="B651" s="23"/>
      <c r="C651" s="23"/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</row>
    <row r="652" spans="1:19">
      <c r="A652" s="23"/>
      <c r="B652" s="23"/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</row>
    <row r="653" spans="1:19">
      <c r="A653" s="23"/>
      <c r="B653" s="23"/>
      <c r="C653" s="23"/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</row>
    <row r="654" spans="1:19">
      <c r="A654" s="23"/>
      <c r="B654" s="23"/>
      <c r="C654" s="23"/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</row>
    <row r="655" spans="1:19">
      <c r="A655" s="23"/>
      <c r="B655" s="23"/>
      <c r="C655" s="23"/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</row>
    <row r="656" spans="1:19">
      <c r="A656" s="23"/>
      <c r="B656" s="23"/>
      <c r="C656" s="23"/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</row>
    <row r="657" spans="1:19">
      <c r="A657" s="23"/>
      <c r="B657" s="23"/>
      <c r="C657" s="23"/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</row>
    <row r="658" spans="1:19">
      <c r="A658" s="23"/>
      <c r="B658" s="23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</row>
    <row r="659" spans="1:19">
      <c r="A659" s="23"/>
      <c r="B659" s="23"/>
      <c r="C659" s="23"/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</row>
    <row r="660" spans="1:19">
      <c r="A660" s="23"/>
      <c r="B660" s="23"/>
      <c r="C660" s="23"/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</row>
    <row r="661" spans="1:19">
      <c r="A661" s="23"/>
      <c r="B661" s="23"/>
      <c r="C661" s="23"/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</row>
    <row r="662" spans="1:19">
      <c r="A662" s="23"/>
      <c r="B662" s="23"/>
      <c r="C662" s="23"/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</row>
    <row r="663" spans="1:19">
      <c r="A663" s="23"/>
      <c r="B663" s="23"/>
      <c r="C663" s="23"/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</row>
    <row r="664" spans="1:19">
      <c r="A664" s="23"/>
      <c r="B664" s="23"/>
      <c r="C664" s="23"/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</row>
    <row r="665" spans="1:19">
      <c r="A665" s="23"/>
      <c r="B665" s="23"/>
      <c r="C665" s="23"/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</row>
    <row r="666" spans="1:19">
      <c r="A666" s="23"/>
      <c r="B666" s="23"/>
      <c r="C666" s="23"/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</row>
    <row r="667" spans="1:19">
      <c r="A667" s="23"/>
      <c r="B667" s="23"/>
      <c r="C667" s="23"/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</row>
    <row r="668" spans="1:19">
      <c r="A668" s="23"/>
      <c r="B668" s="23"/>
      <c r="C668" s="23"/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</row>
    <row r="669" spans="1:19">
      <c r="A669" s="23"/>
      <c r="B669" s="23"/>
      <c r="C669" s="23"/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</row>
    <row r="670" spans="1:19">
      <c r="A670" s="23"/>
      <c r="B670" s="23"/>
      <c r="C670" s="23"/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</row>
    <row r="671" spans="1:19">
      <c r="A671" s="23"/>
      <c r="B671" s="23"/>
      <c r="C671" s="23"/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</row>
    <row r="672" spans="1:19">
      <c r="A672" s="23"/>
      <c r="B672" s="23"/>
      <c r="C672" s="23"/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</row>
    <row r="673" spans="1:19">
      <c r="A673" s="23"/>
      <c r="B673" s="23"/>
      <c r="C673" s="23"/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</row>
    <row r="674" spans="1:19">
      <c r="A674" s="23"/>
      <c r="B674" s="23"/>
      <c r="C674" s="23"/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</row>
    <row r="675" spans="1:19">
      <c r="A675" s="23"/>
      <c r="B675" s="23"/>
      <c r="C675" s="23"/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</row>
    <row r="676" spans="1:19">
      <c r="A676" s="23"/>
      <c r="B676" s="23"/>
      <c r="C676" s="23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</row>
    <row r="677" spans="1:19">
      <c r="A677" s="23"/>
      <c r="B677" s="23"/>
      <c r="C677" s="23"/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</row>
    <row r="678" spans="1:19">
      <c r="A678" s="23"/>
      <c r="B678" s="23"/>
      <c r="C678" s="23"/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</row>
    <row r="679" spans="1:19">
      <c r="A679" s="23"/>
      <c r="B679" s="23"/>
      <c r="C679" s="23"/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</row>
    <row r="680" spans="1:19">
      <c r="A680" s="23"/>
      <c r="B680" s="23"/>
      <c r="C680" s="23"/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</row>
    <row r="681" spans="1:19">
      <c r="A681" s="23"/>
      <c r="B681" s="23"/>
      <c r="C681" s="23"/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</row>
    <row r="682" spans="1:19">
      <c r="A682" s="23"/>
      <c r="B682" s="23"/>
      <c r="C682" s="23"/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</row>
    <row r="683" spans="1:19">
      <c r="A683" s="23"/>
      <c r="B683" s="23"/>
      <c r="C683" s="23"/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</row>
    <row r="684" spans="1:19">
      <c r="A684" s="23"/>
      <c r="B684" s="23"/>
      <c r="C684" s="23"/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</row>
    <row r="685" spans="1:19">
      <c r="A685" s="23"/>
      <c r="B685" s="23"/>
      <c r="C685" s="23"/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</row>
    <row r="686" spans="1:19">
      <c r="A686" s="23"/>
      <c r="B686" s="23"/>
      <c r="C686" s="23"/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</row>
    <row r="687" spans="1:19">
      <c r="A687" s="23"/>
      <c r="B687" s="23"/>
      <c r="C687" s="23"/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</row>
    <row r="688" spans="1:19">
      <c r="A688" s="23"/>
      <c r="B688" s="23"/>
      <c r="C688" s="23"/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</row>
    <row r="689" spans="1:19">
      <c r="A689" s="23"/>
      <c r="B689" s="23"/>
      <c r="C689" s="23"/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</row>
    <row r="690" spans="1:19">
      <c r="A690" s="23"/>
      <c r="B690" s="23"/>
      <c r="C690" s="23"/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</row>
    <row r="691" spans="1:19">
      <c r="A691" s="23"/>
      <c r="B691" s="23"/>
      <c r="C691" s="23"/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</row>
    <row r="692" spans="1:19">
      <c r="A692" s="23"/>
      <c r="B692" s="23"/>
      <c r="C692" s="23"/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</row>
    <row r="693" spans="1:19">
      <c r="A693" s="23"/>
      <c r="B693" s="23"/>
      <c r="C693" s="23"/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</row>
    <row r="694" spans="1:19">
      <c r="A694" s="23"/>
      <c r="B694" s="23"/>
      <c r="C694" s="23"/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</row>
    <row r="695" spans="1:19">
      <c r="A695" s="23"/>
      <c r="B695" s="23"/>
      <c r="C695" s="23"/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</row>
    <row r="696" spans="1:19">
      <c r="A696" s="23"/>
      <c r="B696" s="23"/>
      <c r="C696" s="23"/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</row>
    <row r="697" spans="1:19">
      <c r="A697" s="23"/>
      <c r="B697" s="23"/>
      <c r="C697" s="23"/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</row>
    <row r="698" spans="1:19">
      <c r="A698" s="23"/>
      <c r="B698" s="23"/>
      <c r="C698" s="23"/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</row>
    <row r="699" spans="1:19">
      <c r="A699" s="23"/>
      <c r="B699" s="23"/>
      <c r="C699" s="23"/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</row>
    <row r="700" spans="1:19">
      <c r="A700" s="23"/>
      <c r="B700" s="23"/>
      <c r="C700" s="23"/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</row>
    <row r="701" spans="1:19">
      <c r="A701" s="23"/>
      <c r="B701" s="23"/>
      <c r="C701" s="23"/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</row>
    <row r="702" spans="1:19">
      <c r="A702" s="23"/>
      <c r="B702" s="23"/>
      <c r="C702" s="23"/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</row>
    <row r="703" spans="1:19">
      <c r="A703" s="23"/>
      <c r="B703" s="23"/>
      <c r="C703" s="23"/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</row>
    <row r="704" spans="1:19">
      <c r="A704" s="23"/>
      <c r="B704" s="23"/>
      <c r="C704" s="23"/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</row>
    <row r="705" spans="1:19">
      <c r="A705" s="23"/>
      <c r="B705" s="23"/>
      <c r="C705" s="23"/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</row>
    <row r="706" spans="1:19">
      <c r="A706" s="23"/>
      <c r="B706" s="23"/>
      <c r="C706" s="23"/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</row>
    <row r="707" spans="1:19">
      <c r="A707" s="23"/>
      <c r="B707" s="23"/>
      <c r="C707" s="23"/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</row>
    <row r="708" spans="1:19">
      <c r="A708" s="23"/>
      <c r="B708" s="23"/>
      <c r="C708" s="23"/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</row>
    <row r="709" spans="1:19">
      <c r="A709" s="23"/>
      <c r="B709" s="23"/>
      <c r="C709" s="23"/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</row>
    <row r="710" spans="1:19">
      <c r="A710" s="23"/>
      <c r="B710" s="23"/>
      <c r="C710" s="23"/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</row>
    <row r="711" spans="1:19">
      <c r="A711" s="23"/>
      <c r="B711" s="23"/>
      <c r="C711" s="23"/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</row>
    <row r="712" spans="1:19">
      <c r="A712" s="23"/>
      <c r="B712" s="23"/>
      <c r="C712" s="23"/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</row>
    <row r="713" spans="1:19">
      <c r="A713" s="23"/>
      <c r="B713" s="23"/>
      <c r="C713" s="23"/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</row>
    <row r="714" spans="1:19">
      <c r="A714" s="23"/>
      <c r="B714" s="23"/>
      <c r="C714" s="23"/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</row>
    <row r="715" spans="1:19">
      <c r="A715" s="23"/>
      <c r="B715" s="23"/>
      <c r="C715" s="23"/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</row>
    <row r="716" spans="1:19">
      <c r="A716" s="23"/>
      <c r="B716" s="23"/>
      <c r="C716" s="23"/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</row>
    <row r="717" spans="1:19">
      <c r="A717" s="23"/>
      <c r="B717" s="23"/>
      <c r="C717" s="23"/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</row>
    <row r="718" spans="1:19">
      <c r="A718" s="23"/>
      <c r="B718" s="23"/>
      <c r="C718" s="23"/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</row>
    <row r="719" spans="1:19">
      <c r="A719" s="23"/>
      <c r="B719" s="23"/>
      <c r="C719" s="23"/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</row>
    <row r="720" spans="1:19">
      <c r="A720" s="23"/>
      <c r="B720" s="23"/>
      <c r="C720" s="23"/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</row>
    <row r="721" spans="1:19">
      <c r="A721" s="23"/>
      <c r="B721" s="23"/>
      <c r="C721" s="23"/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</row>
    <row r="722" spans="1:19">
      <c r="A722" s="23"/>
      <c r="B722" s="23"/>
      <c r="C722" s="23"/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</row>
    <row r="723" spans="1:19">
      <c r="A723" s="23"/>
      <c r="B723" s="23"/>
      <c r="C723" s="23"/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</row>
    <row r="724" spans="1:19">
      <c r="A724" s="23"/>
      <c r="B724" s="23"/>
      <c r="C724" s="23"/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</row>
    <row r="725" spans="1:19">
      <c r="A725" s="23"/>
      <c r="B725" s="23"/>
      <c r="C725" s="23"/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</row>
    <row r="726" spans="1:19">
      <c r="A726" s="23"/>
      <c r="B726" s="23"/>
      <c r="C726" s="23"/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</row>
    <row r="727" spans="1:19">
      <c r="A727" s="23"/>
      <c r="B727" s="23"/>
      <c r="C727" s="23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</row>
    <row r="728" spans="1:19">
      <c r="A728" s="23"/>
      <c r="B728" s="23"/>
      <c r="C728" s="23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</row>
    <row r="729" spans="1:19">
      <c r="A729" s="23"/>
      <c r="B729" s="23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</row>
    <row r="730" spans="1:19">
      <c r="A730" s="23"/>
      <c r="B730" s="23"/>
      <c r="C730" s="23"/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</row>
    <row r="731" spans="1:19">
      <c r="A731" s="23"/>
      <c r="B731" s="23"/>
      <c r="C731" s="23"/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</row>
    <row r="732" spans="1:19">
      <c r="A732" s="23"/>
      <c r="B732" s="23"/>
      <c r="C732" s="23"/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</row>
    <row r="733" spans="1:19">
      <c r="A733" s="23"/>
      <c r="B733" s="23"/>
      <c r="C733" s="23"/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</row>
    <row r="734" spans="1:19">
      <c r="A734" s="23"/>
      <c r="B734" s="23"/>
      <c r="C734" s="23"/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</row>
    <row r="735" spans="1:19">
      <c r="A735" s="23"/>
      <c r="B735" s="23"/>
      <c r="C735" s="23"/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</row>
    <row r="736" spans="1:19">
      <c r="A736" s="23"/>
      <c r="B736" s="23"/>
      <c r="C736" s="23"/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</row>
    <row r="737" spans="1:19">
      <c r="A737" s="23"/>
      <c r="B737" s="23"/>
      <c r="C737" s="23"/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</row>
    <row r="738" spans="1:19">
      <c r="A738" s="23"/>
      <c r="B738" s="23"/>
      <c r="C738" s="23"/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</row>
    <row r="739" spans="1:19">
      <c r="A739" s="23"/>
      <c r="B739" s="23"/>
      <c r="C739" s="23"/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</row>
    <row r="740" spans="1:19">
      <c r="A740" s="23"/>
      <c r="B740" s="23"/>
      <c r="C740" s="23"/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</row>
    <row r="741" spans="1:19">
      <c r="A741" s="23"/>
      <c r="B741" s="23"/>
      <c r="C741" s="23"/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</row>
    <row r="742" spans="1:19">
      <c r="A742" s="23"/>
      <c r="B742" s="23"/>
      <c r="C742" s="23"/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</row>
    <row r="743" spans="1:19">
      <c r="A743" s="23"/>
      <c r="B743" s="23"/>
      <c r="C743" s="23"/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</row>
    <row r="744" spans="1:19">
      <c r="A744" s="23"/>
      <c r="B744" s="23"/>
      <c r="C744" s="23"/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</row>
    <row r="745" spans="1:19">
      <c r="A745" s="23"/>
      <c r="B745" s="23"/>
      <c r="C745" s="23"/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</row>
    <row r="746" spans="1:19">
      <c r="A746" s="23"/>
      <c r="B746" s="23"/>
      <c r="C746" s="23"/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</row>
    <row r="747" spans="1:19">
      <c r="A747" s="23"/>
      <c r="B747" s="23"/>
      <c r="C747" s="23"/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</row>
    <row r="748" spans="1:19">
      <c r="A748" s="23"/>
      <c r="B748" s="23"/>
      <c r="C748" s="23"/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</row>
    <row r="749" spans="1:19">
      <c r="A749" s="23"/>
      <c r="B749" s="23"/>
      <c r="C749" s="23"/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</row>
    <row r="750" spans="1:19">
      <c r="A750" s="23"/>
      <c r="B750" s="23"/>
      <c r="C750" s="23"/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</row>
    <row r="751" spans="1:19">
      <c r="A751" s="23"/>
      <c r="B751" s="23"/>
      <c r="C751" s="23"/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</row>
    <row r="752" spans="1:19">
      <c r="A752" s="23"/>
      <c r="B752" s="23"/>
      <c r="C752" s="23"/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</row>
    <row r="753" spans="1:19">
      <c r="A753" s="23"/>
      <c r="B753" s="23"/>
      <c r="C753" s="23"/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</row>
    <row r="754" spans="1:19">
      <c r="A754" s="23"/>
      <c r="B754" s="23"/>
      <c r="C754" s="23"/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</row>
    <row r="755" spans="1:19">
      <c r="A755" s="23"/>
      <c r="B755" s="23"/>
      <c r="C755" s="23"/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</row>
    <row r="756" spans="1:19">
      <c r="A756" s="23"/>
      <c r="B756" s="23"/>
      <c r="C756" s="23"/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</row>
    <row r="757" spans="1:19">
      <c r="A757" s="23"/>
      <c r="B757" s="23"/>
      <c r="C757" s="23"/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</row>
    <row r="758" spans="1:19">
      <c r="A758" s="23"/>
      <c r="B758" s="23"/>
      <c r="C758" s="23"/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</row>
    <row r="759" spans="1:19">
      <c r="A759" s="23"/>
      <c r="B759" s="23"/>
      <c r="C759" s="23"/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</row>
    <row r="760" spans="1:19">
      <c r="A760" s="23"/>
      <c r="B760" s="23"/>
      <c r="C760" s="23"/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</row>
    <row r="761" spans="1:19">
      <c r="A761" s="23"/>
      <c r="B761" s="23"/>
      <c r="C761" s="23"/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</row>
    <row r="762" spans="1:19">
      <c r="A762" s="23"/>
      <c r="B762" s="23"/>
      <c r="C762" s="23"/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</row>
    <row r="763" spans="1:19">
      <c r="A763" s="23"/>
      <c r="B763" s="23"/>
      <c r="C763" s="23"/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</row>
    <row r="764" spans="1:19">
      <c r="A764" s="23"/>
      <c r="B764" s="23"/>
      <c r="C764" s="23"/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</row>
    <row r="765" spans="1:19">
      <c r="A765" s="23"/>
      <c r="B765" s="23"/>
      <c r="C765" s="23"/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</row>
    <row r="766" spans="1:19">
      <c r="A766" s="23"/>
      <c r="B766" s="23"/>
      <c r="C766" s="23"/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</row>
    <row r="767" spans="1:19">
      <c r="A767" s="23"/>
      <c r="B767" s="23"/>
      <c r="C767" s="23"/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</row>
    <row r="768" spans="1:19">
      <c r="A768" s="23"/>
      <c r="B768" s="23"/>
      <c r="C768" s="23"/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</row>
    <row r="769" spans="1:19">
      <c r="A769" s="23"/>
      <c r="B769" s="23"/>
      <c r="C769" s="23"/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</row>
    <row r="770" spans="1:19">
      <c r="A770" s="23"/>
      <c r="B770" s="23"/>
      <c r="C770" s="23"/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</row>
    <row r="771" spans="1:19">
      <c r="A771" s="23"/>
      <c r="B771" s="23"/>
      <c r="C771" s="23"/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</row>
    <row r="772" spans="1:19">
      <c r="A772" s="23"/>
      <c r="B772" s="23"/>
      <c r="C772" s="23"/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</row>
    <row r="773" spans="1:19">
      <c r="A773" s="23"/>
      <c r="B773" s="23"/>
      <c r="C773" s="23"/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</row>
    <row r="774" spans="1:19">
      <c r="A774" s="23"/>
      <c r="B774" s="23"/>
      <c r="C774" s="23"/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</row>
    <row r="775" spans="1:19">
      <c r="A775" s="23"/>
      <c r="B775" s="23"/>
      <c r="C775" s="23"/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</row>
    <row r="776" spans="1:19">
      <c r="A776" s="23"/>
      <c r="B776" s="23"/>
      <c r="C776" s="23"/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</row>
    <row r="777" spans="1:19">
      <c r="A777" s="23"/>
      <c r="B777" s="23"/>
      <c r="C777" s="23"/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</row>
    <row r="778" spans="1:19">
      <c r="A778" s="23"/>
      <c r="B778" s="23"/>
      <c r="C778" s="23"/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</row>
    <row r="779" spans="1:19">
      <c r="A779" s="23"/>
      <c r="B779" s="23"/>
      <c r="C779" s="23"/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</row>
    <row r="780" spans="1:19">
      <c r="A780" s="23"/>
      <c r="B780" s="23"/>
      <c r="C780" s="23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</row>
    <row r="781" spans="1:19">
      <c r="A781" s="23"/>
      <c r="B781" s="23"/>
      <c r="C781" s="23"/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</row>
    <row r="782" spans="1:19">
      <c r="A782" s="23"/>
      <c r="B782" s="23"/>
      <c r="C782" s="23"/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</row>
    <row r="783" spans="1:19">
      <c r="A783" s="23"/>
      <c r="B783" s="23"/>
      <c r="C783" s="23"/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</row>
    <row r="784" spans="1:19">
      <c r="A784" s="23"/>
      <c r="B784" s="23"/>
      <c r="C784" s="23"/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</row>
    <row r="785" spans="1:19">
      <c r="A785" s="23"/>
      <c r="B785" s="23"/>
      <c r="C785" s="23"/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</row>
    <row r="786" spans="1:19">
      <c r="A786" s="23"/>
      <c r="B786" s="23"/>
      <c r="C786" s="23"/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</row>
    <row r="787" spans="1:19">
      <c r="A787" s="23"/>
      <c r="B787" s="23"/>
      <c r="C787" s="23"/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</row>
    <row r="788" spans="1:19">
      <c r="A788" s="23"/>
      <c r="B788" s="23"/>
      <c r="C788" s="23"/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</row>
    <row r="789" spans="1:19">
      <c r="A789" s="23"/>
      <c r="B789" s="23"/>
      <c r="C789" s="23"/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</row>
    <row r="790" spans="1:19">
      <c r="A790" s="23"/>
      <c r="B790" s="23"/>
      <c r="C790" s="23"/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</row>
    <row r="791" spans="1:19">
      <c r="A791" s="23"/>
      <c r="B791" s="23"/>
      <c r="C791" s="23"/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</row>
    <row r="792" spans="1:19">
      <c r="A792" s="23"/>
      <c r="B792" s="23"/>
      <c r="C792" s="23"/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</row>
    <row r="793" spans="1:19">
      <c r="A793" s="23"/>
      <c r="B793" s="23"/>
      <c r="C793" s="23"/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</row>
    <row r="794" spans="1:19">
      <c r="A794" s="23"/>
      <c r="B794" s="23"/>
      <c r="C794" s="23"/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</row>
    <row r="795" spans="1:19">
      <c r="A795" s="23"/>
      <c r="B795" s="23"/>
      <c r="C795" s="23"/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</row>
    <row r="796" spans="1:19">
      <c r="A796" s="23"/>
      <c r="B796" s="23"/>
      <c r="C796" s="23"/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</row>
    <row r="797" spans="1:19">
      <c r="A797" s="23"/>
      <c r="B797" s="23"/>
      <c r="C797" s="23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</row>
    <row r="798" spans="1:19">
      <c r="A798" s="23"/>
      <c r="B798" s="23"/>
      <c r="C798" s="23"/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</row>
    <row r="799" spans="1:19">
      <c r="A799" s="23"/>
      <c r="B799" s="23"/>
      <c r="C799" s="23"/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</row>
    <row r="800" spans="1:19">
      <c r="A800" s="23"/>
      <c r="B800" s="23"/>
      <c r="C800" s="23"/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</row>
    <row r="801" spans="1:19">
      <c r="A801" s="23"/>
      <c r="B801" s="23"/>
      <c r="C801" s="23"/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</row>
    <row r="802" spans="1:19">
      <c r="A802" s="23"/>
      <c r="B802" s="23"/>
      <c r="C802" s="23"/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</row>
    <row r="803" spans="1:19">
      <c r="A803" s="23"/>
      <c r="B803" s="23"/>
      <c r="C803" s="23"/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</row>
    <row r="804" spans="1:19">
      <c r="A804" s="23"/>
      <c r="B804" s="23"/>
      <c r="C804" s="23"/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</row>
    <row r="805" spans="1:19">
      <c r="A805" s="23"/>
      <c r="B805" s="23"/>
      <c r="C805" s="23"/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</row>
    <row r="806" spans="1:19">
      <c r="A806" s="23"/>
      <c r="B806" s="23"/>
      <c r="C806" s="23"/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</row>
    <row r="807" spans="1:19">
      <c r="A807" s="23"/>
      <c r="B807" s="23"/>
      <c r="C807" s="23"/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</row>
    <row r="808" spans="1:19">
      <c r="A808" s="23"/>
      <c r="B808" s="23"/>
      <c r="C808" s="23"/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</row>
    <row r="809" spans="1:19">
      <c r="A809" s="23"/>
      <c r="B809" s="23"/>
      <c r="C809" s="23"/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</row>
    <row r="810" spans="1:19">
      <c r="A810" s="23"/>
      <c r="B810" s="23"/>
      <c r="C810" s="23"/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</row>
    <row r="811" spans="1:19">
      <c r="A811" s="23"/>
      <c r="B811" s="23"/>
      <c r="C811" s="23"/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</row>
    <row r="812" spans="1:19">
      <c r="A812" s="23"/>
      <c r="B812" s="23"/>
      <c r="C812" s="23"/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</row>
    <row r="813" spans="1:19">
      <c r="A813" s="23"/>
      <c r="B813" s="23"/>
      <c r="C813" s="23"/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</row>
    <row r="814" spans="1:19">
      <c r="A814" s="23"/>
      <c r="B814" s="23"/>
      <c r="C814" s="23"/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</row>
    <row r="815" spans="1:19">
      <c r="A815" s="23"/>
      <c r="B815" s="23"/>
      <c r="C815" s="23"/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</row>
    <row r="816" spans="1:19">
      <c r="A816" s="23"/>
      <c r="B816" s="23"/>
      <c r="C816" s="23"/>
      <c r="D816" s="23"/>
      <c r="E816" s="23"/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</row>
    <row r="817" spans="1:19">
      <c r="A817" s="23"/>
      <c r="B817" s="23"/>
      <c r="C817" s="23"/>
      <c r="D817" s="23"/>
      <c r="E817" s="23"/>
      <c r="F817" s="23"/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</row>
    <row r="818" spans="1:19">
      <c r="A818" s="23"/>
      <c r="B818" s="23"/>
      <c r="C818" s="23"/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</row>
    <row r="819" spans="1:19">
      <c r="A819" s="23"/>
      <c r="B819" s="23"/>
      <c r="C819" s="23"/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</row>
    <row r="820" spans="1:19">
      <c r="A820" s="23"/>
      <c r="B820" s="23"/>
      <c r="C820" s="23"/>
      <c r="D820" s="23"/>
      <c r="E820" s="23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</row>
    <row r="821" spans="1:19">
      <c r="A821" s="23"/>
      <c r="B821" s="23"/>
      <c r="C821" s="23"/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</row>
    <row r="822" spans="1:19">
      <c r="A822" s="23"/>
      <c r="B822" s="23"/>
      <c r="C822" s="23"/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</row>
    <row r="823" spans="1:19">
      <c r="A823" s="23"/>
      <c r="B823" s="23"/>
      <c r="C823" s="23"/>
      <c r="D823" s="23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</row>
    <row r="824" spans="1:19">
      <c r="A824" s="23"/>
      <c r="B824" s="23"/>
      <c r="C824" s="23"/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</row>
    <row r="825" spans="1:19">
      <c r="A825" s="23"/>
      <c r="B825" s="23"/>
      <c r="C825" s="23"/>
      <c r="D825" s="23"/>
      <c r="E825" s="23"/>
      <c r="F825" s="23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</row>
    <row r="826" spans="1:19">
      <c r="A826" s="23"/>
      <c r="B826" s="23"/>
      <c r="C826" s="23"/>
      <c r="D826" s="23"/>
      <c r="E826" s="23"/>
      <c r="F826" s="23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</row>
    <row r="827" spans="1:19">
      <c r="A827" s="23"/>
      <c r="B827" s="23"/>
      <c r="C827" s="23"/>
      <c r="D827" s="23"/>
      <c r="E827" s="23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</row>
    <row r="828" spans="1:19">
      <c r="A828" s="23"/>
      <c r="B828" s="23"/>
      <c r="C828" s="23"/>
      <c r="D828" s="23"/>
      <c r="E828" s="23"/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</row>
    <row r="829" spans="1:19">
      <c r="A829" s="23"/>
      <c r="B829" s="23"/>
      <c r="C829" s="23"/>
      <c r="D829" s="23"/>
      <c r="E829" s="23"/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</row>
    <row r="830" spans="1:19">
      <c r="A830" s="23"/>
      <c r="B830" s="23"/>
      <c r="C830" s="23"/>
      <c r="D830" s="23"/>
      <c r="E830" s="23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</row>
    <row r="831" spans="1:19">
      <c r="A831" s="23"/>
      <c r="B831" s="23"/>
      <c r="C831" s="23"/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</row>
    <row r="832" spans="1:19">
      <c r="A832" s="23"/>
      <c r="B832" s="23"/>
      <c r="C832" s="23"/>
      <c r="D832" s="23"/>
      <c r="E832" s="23"/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</row>
    <row r="833" spans="1:19">
      <c r="A833" s="23"/>
      <c r="B833" s="23"/>
      <c r="C833" s="23"/>
      <c r="D833" s="23"/>
      <c r="E833" s="23"/>
      <c r="F833" s="23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</row>
    <row r="834" spans="1:19">
      <c r="A834" s="23"/>
      <c r="B834" s="23"/>
      <c r="C834" s="23"/>
      <c r="D834" s="23"/>
      <c r="E834" s="23"/>
      <c r="F834" s="23"/>
      <c r="G834" s="23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</row>
    <row r="835" spans="1:19">
      <c r="A835" s="23"/>
      <c r="B835" s="23"/>
      <c r="C835" s="23"/>
      <c r="D835" s="23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</row>
    <row r="836" spans="1:19">
      <c r="A836" s="23"/>
      <c r="B836" s="23"/>
      <c r="C836" s="23"/>
      <c r="D836" s="23"/>
      <c r="E836" s="23"/>
      <c r="F836" s="23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</row>
    <row r="837" spans="1:19">
      <c r="A837" s="23"/>
      <c r="B837" s="23"/>
      <c r="C837" s="23"/>
      <c r="D837" s="23"/>
      <c r="E837" s="23"/>
      <c r="F837" s="23"/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</row>
    <row r="838" spans="1:19">
      <c r="A838" s="23"/>
      <c r="B838" s="23"/>
      <c r="C838" s="23"/>
      <c r="D838" s="23"/>
      <c r="E838" s="23"/>
      <c r="F838" s="23"/>
      <c r="G838" s="23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</row>
    <row r="839" spans="1:19">
      <c r="A839" s="23"/>
      <c r="B839" s="23"/>
      <c r="C839" s="23"/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</row>
    <row r="840" spans="1:19">
      <c r="A840" s="23"/>
      <c r="B840" s="23"/>
      <c r="C840" s="23"/>
      <c r="D840" s="23"/>
      <c r="E840" s="23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</row>
    <row r="841" spans="1:19">
      <c r="A841" s="23"/>
      <c r="B841" s="23"/>
      <c r="C841" s="23"/>
      <c r="D841" s="23"/>
      <c r="E841" s="23"/>
      <c r="F841" s="23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</row>
    <row r="842" spans="1:19">
      <c r="A842" s="23"/>
      <c r="B842" s="23"/>
      <c r="C842" s="23"/>
      <c r="D842" s="23"/>
      <c r="E842" s="23"/>
      <c r="F842" s="23"/>
      <c r="G842" s="23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</row>
    <row r="843" spans="1:19">
      <c r="A843" s="23"/>
      <c r="B843" s="23"/>
      <c r="C843" s="23"/>
      <c r="D843" s="23"/>
      <c r="E843" s="23"/>
      <c r="F843" s="23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</row>
    <row r="844" spans="1:19">
      <c r="A844" s="23"/>
      <c r="B844" s="23"/>
      <c r="C844" s="23"/>
      <c r="D844" s="23"/>
      <c r="E844" s="23"/>
      <c r="F844" s="23"/>
      <c r="G844" s="23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</row>
    <row r="845" spans="1:19">
      <c r="A845" s="23"/>
      <c r="B845" s="23"/>
      <c r="C845" s="23"/>
      <c r="D845" s="23"/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</row>
    <row r="846" spans="1:19">
      <c r="A846" s="23"/>
      <c r="B846" s="23"/>
      <c r="C846" s="23"/>
      <c r="D846" s="23"/>
      <c r="E846" s="23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</row>
    <row r="847" spans="1:19">
      <c r="A847" s="23"/>
      <c r="B847" s="23"/>
      <c r="C847" s="23"/>
      <c r="D847" s="23"/>
      <c r="E847" s="23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</row>
    <row r="848" spans="1:19">
      <c r="A848" s="23"/>
      <c r="B848" s="23"/>
      <c r="C848" s="23"/>
      <c r="D848" s="23"/>
      <c r="E848" s="23"/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</row>
    <row r="849" spans="1:19">
      <c r="A849" s="23"/>
      <c r="B849" s="23"/>
      <c r="C849" s="23"/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</row>
    <row r="850" spans="1:19">
      <c r="A850" s="23"/>
      <c r="B850" s="23"/>
      <c r="C850" s="23"/>
      <c r="D850" s="23"/>
      <c r="E850" s="23"/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</row>
    <row r="851" spans="1:19">
      <c r="A851" s="23"/>
      <c r="B851" s="23"/>
      <c r="C851" s="23"/>
      <c r="D851" s="23"/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</row>
    <row r="852" spans="1:19">
      <c r="A852" s="23"/>
      <c r="B852" s="23"/>
      <c r="C852" s="23"/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</row>
    <row r="853" spans="1:19">
      <c r="A853" s="23"/>
      <c r="B853" s="23"/>
      <c r="C853" s="23"/>
      <c r="D853" s="23"/>
      <c r="E853" s="23"/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</row>
    <row r="854" spans="1:19">
      <c r="A854" s="23"/>
      <c r="B854" s="23"/>
      <c r="C854" s="23"/>
      <c r="D854" s="23"/>
      <c r="E854" s="23"/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</row>
    <row r="855" spans="1:19">
      <c r="A855" s="23"/>
      <c r="B855" s="23"/>
      <c r="C855" s="23"/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</row>
    <row r="856" spans="1:19">
      <c r="A856" s="23"/>
      <c r="B856" s="23"/>
      <c r="C856" s="23"/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</row>
    <row r="857" spans="1:19">
      <c r="A857" s="23"/>
      <c r="B857" s="23"/>
      <c r="C857" s="23"/>
      <c r="D857" s="23"/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</row>
    <row r="858" spans="1:19">
      <c r="A858" s="23"/>
      <c r="B858" s="23"/>
      <c r="C858" s="23"/>
      <c r="D858" s="23"/>
      <c r="E858" s="23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</row>
    <row r="859" spans="1:19">
      <c r="A859" s="23"/>
      <c r="B859" s="23"/>
      <c r="C859" s="23"/>
      <c r="D859" s="23"/>
      <c r="E859" s="23"/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</row>
    <row r="860" spans="1:19">
      <c r="A860" s="23"/>
      <c r="B860" s="23"/>
      <c r="C860" s="23"/>
      <c r="D860" s="23"/>
      <c r="E860" s="23"/>
      <c r="F860" s="23"/>
      <c r="G860" s="23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</row>
    <row r="861" spans="1:19">
      <c r="A861" s="23"/>
      <c r="B861" s="23"/>
      <c r="C861" s="23"/>
      <c r="D861" s="23"/>
      <c r="E861" s="23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</row>
    <row r="862" spans="1:19">
      <c r="A862" s="23"/>
      <c r="B862" s="23"/>
      <c r="C862" s="23"/>
      <c r="D862" s="23"/>
      <c r="E862" s="23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</row>
    <row r="863" spans="1:19">
      <c r="A863" s="23"/>
      <c r="B863" s="23"/>
      <c r="C863" s="23"/>
      <c r="D863" s="23"/>
      <c r="E863" s="23"/>
      <c r="F863" s="23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</row>
    <row r="864" spans="1:19">
      <c r="A864" s="23"/>
      <c r="B864" s="23"/>
      <c r="C864" s="23"/>
      <c r="D864" s="23"/>
      <c r="E864" s="23"/>
      <c r="F864" s="23"/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</row>
    <row r="865" spans="1:19">
      <c r="A865" s="23"/>
      <c r="B865" s="23"/>
      <c r="C865" s="23"/>
      <c r="D865" s="23"/>
      <c r="E865" s="23"/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</row>
    <row r="866" spans="1:19">
      <c r="A866" s="23"/>
      <c r="B866" s="23"/>
      <c r="C866" s="23"/>
      <c r="D866" s="23"/>
      <c r="E866" s="23"/>
      <c r="F866" s="23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</row>
    <row r="867" spans="1:19">
      <c r="A867" s="23"/>
      <c r="B867" s="23"/>
      <c r="C867" s="23"/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</row>
    <row r="868" spans="1:19">
      <c r="A868" s="23"/>
      <c r="B868" s="23"/>
      <c r="C868" s="23"/>
      <c r="D868" s="23"/>
      <c r="E868" s="23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</row>
    <row r="869" spans="1:19">
      <c r="A869" s="23"/>
      <c r="B869" s="23"/>
      <c r="C869" s="23"/>
      <c r="D869" s="23"/>
      <c r="E869" s="23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</row>
    <row r="870" spans="1:19">
      <c r="A870" s="23"/>
      <c r="B870" s="23"/>
      <c r="C870" s="23"/>
      <c r="D870" s="23"/>
      <c r="E870" s="23"/>
      <c r="F870" s="23"/>
      <c r="G870" s="23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</row>
    <row r="871" spans="1:19">
      <c r="A871" s="23"/>
      <c r="B871" s="23"/>
      <c r="C871" s="23"/>
      <c r="D871" s="23"/>
      <c r="E871" s="23"/>
      <c r="F871" s="23"/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</row>
    <row r="872" spans="1:19">
      <c r="A872" s="23"/>
      <c r="B872" s="23"/>
      <c r="C872" s="23"/>
      <c r="D872" s="23"/>
      <c r="E872" s="23"/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</row>
    <row r="873" spans="1:19">
      <c r="A873" s="23"/>
      <c r="B873" s="23"/>
      <c r="C873" s="23"/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</row>
    <row r="874" spans="1:19">
      <c r="A874" s="23"/>
      <c r="B874" s="23"/>
      <c r="C874" s="23"/>
      <c r="D874" s="23"/>
      <c r="E874" s="23"/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</row>
    <row r="875" spans="1:19">
      <c r="A875" s="23"/>
      <c r="B875" s="23"/>
      <c r="C875" s="23"/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</row>
    <row r="876" spans="1:19">
      <c r="A876" s="23"/>
      <c r="B876" s="23"/>
      <c r="C876" s="23"/>
      <c r="D876" s="23"/>
      <c r="E876" s="23"/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</row>
    <row r="877" spans="1:19">
      <c r="A877" s="23"/>
      <c r="B877" s="23"/>
      <c r="C877" s="23"/>
      <c r="D877" s="23"/>
      <c r="E877" s="23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</row>
    <row r="878" spans="1:19">
      <c r="A878" s="23"/>
      <c r="B878" s="23"/>
      <c r="C878" s="23"/>
      <c r="D878" s="23"/>
      <c r="E878" s="23"/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</row>
    <row r="879" spans="1:19">
      <c r="A879" s="23"/>
      <c r="B879" s="23"/>
      <c r="C879" s="23"/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</row>
    <row r="880" spans="1:19">
      <c r="A880" s="23"/>
      <c r="B880" s="23"/>
      <c r="C880" s="23"/>
      <c r="D880" s="23"/>
      <c r="E880" s="23"/>
      <c r="F880" s="23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</row>
    <row r="881" spans="1:19">
      <c r="A881" s="23"/>
      <c r="B881" s="23"/>
      <c r="C881" s="23"/>
      <c r="D881" s="23"/>
      <c r="E881" s="23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</row>
    <row r="882" spans="1:19">
      <c r="A882" s="23"/>
      <c r="B882" s="23"/>
      <c r="C882" s="23"/>
      <c r="D882" s="23"/>
      <c r="E882" s="23"/>
      <c r="F882" s="23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</row>
    <row r="883" spans="1:19">
      <c r="A883" s="23"/>
      <c r="B883" s="23"/>
      <c r="C883" s="23"/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</row>
    <row r="884" spans="1:19">
      <c r="A884" s="23"/>
      <c r="B884" s="23"/>
      <c r="C884" s="23"/>
      <c r="D884" s="23"/>
      <c r="E884" s="23"/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</row>
    <row r="885" spans="1:19">
      <c r="A885" s="23"/>
      <c r="B885" s="23"/>
      <c r="C885" s="23"/>
      <c r="D885" s="23"/>
      <c r="E885" s="23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</row>
    <row r="886" spans="1:19">
      <c r="A886" s="23"/>
      <c r="B886" s="23"/>
      <c r="C886" s="23"/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</row>
    <row r="887" spans="1:19">
      <c r="A887" s="23"/>
      <c r="B887" s="23"/>
      <c r="C887" s="23"/>
      <c r="D887" s="23"/>
      <c r="E887" s="23"/>
      <c r="F887" s="23"/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</row>
    <row r="888" spans="1:19">
      <c r="A888" s="23"/>
      <c r="B888" s="23"/>
      <c r="C888" s="23"/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</row>
    <row r="889" spans="1:19">
      <c r="A889" s="23"/>
      <c r="B889" s="23"/>
      <c r="C889" s="23"/>
      <c r="D889" s="23"/>
      <c r="E889" s="23"/>
      <c r="F889" s="23"/>
      <c r="G889" s="23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</row>
    <row r="890" spans="1:19">
      <c r="A890" s="23"/>
      <c r="B890" s="23"/>
      <c r="C890" s="23"/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</row>
    <row r="891" spans="1:19">
      <c r="A891" s="23"/>
      <c r="B891" s="23"/>
      <c r="C891" s="23"/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</row>
    <row r="892" spans="1:19">
      <c r="A892" s="23"/>
      <c r="B892" s="23"/>
      <c r="C892" s="23"/>
      <c r="D892" s="23"/>
      <c r="E892" s="23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</row>
    <row r="893" spans="1:19">
      <c r="A893" s="23"/>
      <c r="B893" s="23"/>
      <c r="C893" s="23"/>
      <c r="D893" s="23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</row>
    <row r="894" spans="1:19">
      <c r="A894" s="23"/>
      <c r="B894" s="23"/>
      <c r="C894" s="23"/>
      <c r="D894" s="23"/>
      <c r="E894" s="23"/>
      <c r="F894" s="23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</row>
    <row r="895" spans="1:19">
      <c r="A895" s="23"/>
      <c r="B895" s="23"/>
      <c r="C895" s="23"/>
      <c r="D895" s="23"/>
      <c r="E895" s="23"/>
      <c r="F895" s="23"/>
      <c r="G895" s="23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</row>
    <row r="896" spans="1:19">
      <c r="A896" s="23"/>
      <c r="B896" s="23"/>
      <c r="C896" s="23"/>
      <c r="D896" s="23"/>
      <c r="E896" s="23"/>
      <c r="F896" s="23"/>
      <c r="G896" s="23"/>
      <c r="H896" s="23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</row>
    <row r="897" spans="1:19">
      <c r="A897" s="23"/>
      <c r="B897" s="23"/>
      <c r="C897" s="23"/>
      <c r="D897" s="23"/>
      <c r="E897" s="23"/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</row>
    <row r="898" spans="1:19">
      <c r="A898" s="23"/>
      <c r="B898" s="23"/>
      <c r="C898" s="23"/>
      <c r="D898" s="23"/>
      <c r="E898" s="23"/>
      <c r="F898" s="23"/>
      <c r="G898" s="23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</row>
    <row r="899" spans="1:19">
      <c r="A899" s="23"/>
      <c r="B899" s="23"/>
      <c r="C899" s="23"/>
      <c r="D899" s="23"/>
      <c r="E899" s="23"/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</row>
    <row r="900" spans="1:19">
      <c r="A900" s="23"/>
      <c r="B900" s="23"/>
      <c r="C900" s="23"/>
      <c r="D900" s="23"/>
      <c r="E900" s="23"/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</row>
    <row r="901" spans="1:19">
      <c r="A901" s="23"/>
      <c r="B901" s="23"/>
      <c r="C901" s="23"/>
      <c r="D901" s="23"/>
      <c r="E901" s="23"/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</row>
    <row r="902" spans="1:19">
      <c r="A902" s="23"/>
      <c r="B902" s="23"/>
      <c r="C902" s="23"/>
      <c r="D902" s="23"/>
      <c r="E902" s="23"/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</row>
    <row r="903" spans="1:19">
      <c r="A903" s="23"/>
      <c r="B903" s="23"/>
      <c r="C903" s="23"/>
      <c r="D903" s="23"/>
      <c r="E903" s="23"/>
      <c r="F903" s="23"/>
      <c r="G903" s="23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</row>
    <row r="904" spans="1:19">
      <c r="A904" s="23"/>
      <c r="B904" s="23"/>
      <c r="C904" s="23"/>
      <c r="D904" s="23"/>
      <c r="E904" s="23"/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</row>
    <row r="905" spans="1:19">
      <c r="A905" s="23"/>
      <c r="B905" s="23"/>
      <c r="C905" s="23"/>
      <c r="D905" s="23"/>
      <c r="E905" s="23"/>
      <c r="F905" s="23"/>
      <c r="G905" s="23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</row>
    <row r="906" spans="1:19">
      <c r="A906" s="23"/>
      <c r="B906" s="23"/>
      <c r="C906" s="23"/>
      <c r="D906" s="23"/>
      <c r="E906" s="23"/>
      <c r="F906" s="23"/>
      <c r="G906" s="23"/>
      <c r="H906" s="23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</row>
    <row r="907" spans="1:19">
      <c r="A907" s="23"/>
      <c r="B907" s="23"/>
      <c r="C907" s="23"/>
      <c r="D907" s="23"/>
      <c r="E907" s="23"/>
      <c r="F907" s="23"/>
      <c r="G907" s="23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</row>
    <row r="908" spans="1:19">
      <c r="A908" s="23"/>
      <c r="B908" s="23"/>
      <c r="C908" s="23"/>
      <c r="D908" s="23"/>
      <c r="E908" s="23"/>
      <c r="F908" s="23"/>
      <c r="G908" s="23"/>
      <c r="H908" s="23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</row>
    <row r="909" spans="1:19">
      <c r="A909" s="23"/>
      <c r="B909" s="23"/>
      <c r="C909" s="23"/>
      <c r="D909" s="23"/>
      <c r="E909" s="23"/>
      <c r="F909" s="23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</row>
    <row r="910" spans="1:19">
      <c r="A910" s="23"/>
      <c r="B910" s="23"/>
      <c r="C910" s="23"/>
      <c r="D910" s="23"/>
      <c r="E910" s="23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</row>
    <row r="911" spans="1:19">
      <c r="A911" s="23"/>
      <c r="B911" s="23"/>
      <c r="C911" s="23"/>
      <c r="D911" s="23"/>
      <c r="E911" s="23"/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</row>
    <row r="912" spans="1:19">
      <c r="A912" s="23"/>
      <c r="B912" s="23"/>
      <c r="C912" s="23"/>
      <c r="D912" s="23"/>
      <c r="E912" s="23"/>
      <c r="F912" s="23"/>
      <c r="G912" s="23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</row>
    <row r="913" spans="1:19">
      <c r="A913" s="23"/>
      <c r="B913" s="23"/>
      <c r="C913" s="23"/>
      <c r="D913" s="23"/>
      <c r="E913" s="23"/>
      <c r="F913" s="23"/>
      <c r="G913" s="23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</row>
    <row r="914" spans="1:19">
      <c r="A914" s="23"/>
      <c r="B914" s="23"/>
      <c r="C914" s="23"/>
      <c r="D914" s="23"/>
      <c r="E914" s="23"/>
      <c r="F914" s="23"/>
      <c r="G914" s="23"/>
      <c r="H914" s="23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</row>
    <row r="915" spans="1:19">
      <c r="A915" s="23"/>
      <c r="B915" s="23"/>
      <c r="C915" s="23"/>
      <c r="D915" s="23"/>
      <c r="E915" s="23"/>
      <c r="F915" s="23"/>
      <c r="G915" s="23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</row>
    <row r="916" spans="1:19">
      <c r="A916" s="23"/>
      <c r="B916" s="23"/>
      <c r="C916" s="23"/>
      <c r="D916" s="23"/>
      <c r="E916" s="23"/>
      <c r="F916" s="23"/>
      <c r="G916" s="23"/>
      <c r="H916" s="23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</row>
    <row r="917" spans="1:19">
      <c r="A917" s="23"/>
      <c r="B917" s="23"/>
      <c r="C917" s="23"/>
      <c r="D917" s="23"/>
      <c r="E917" s="23"/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</row>
    <row r="918" spans="1:19">
      <c r="A918" s="23"/>
      <c r="B918" s="23"/>
      <c r="C918" s="23"/>
      <c r="D918" s="23"/>
      <c r="E918" s="23"/>
      <c r="F918" s="23"/>
      <c r="G918" s="23"/>
      <c r="H918" s="23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</row>
    <row r="919" spans="1:19">
      <c r="A919" s="23"/>
      <c r="B919" s="23"/>
      <c r="C919" s="23"/>
      <c r="D919" s="23"/>
      <c r="E919" s="23"/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</row>
    <row r="920" spans="1:19">
      <c r="A920" s="23"/>
      <c r="B920" s="23"/>
      <c r="C920" s="23"/>
      <c r="D920" s="23"/>
      <c r="E920" s="23"/>
      <c r="F920" s="23"/>
      <c r="G920" s="23"/>
      <c r="H920" s="23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</row>
    <row r="921" spans="1:19">
      <c r="A921" s="23"/>
      <c r="B921" s="23"/>
      <c r="C921" s="23"/>
      <c r="D921" s="23"/>
      <c r="E921" s="23"/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</row>
    <row r="922" spans="1:19">
      <c r="A922" s="23"/>
      <c r="B922" s="23"/>
      <c r="C922" s="23"/>
      <c r="D922" s="23"/>
      <c r="E922" s="23"/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</row>
    <row r="923" spans="1:19">
      <c r="A923" s="23"/>
      <c r="B923" s="23"/>
      <c r="C923" s="23"/>
      <c r="D923" s="23"/>
      <c r="E923" s="23"/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</row>
    <row r="924" spans="1:19">
      <c r="A924" s="23"/>
      <c r="B924" s="23"/>
      <c r="C924" s="23"/>
      <c r="D924" s="23"/>
      <c r="E924" s="23"/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</row>
    <row r="925" spans="1:19">
      <c r="A925" s="23"/>
      <c r="B925" s="23"/>
      <c r="C925" s="23"/>
      <c r="D925" s="23"/>
      <c r="E925" s="23"/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</row>
    <row r="926" spans="1:19">
      <c r="A926" s="23"/>
      <c r="B926" s="23"/>
      <c r="C926" s="23"/>
      <c r="D926" s="23"/>
      <c r="E926" s="23"/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</row>
    <row r="927" spans="1:19">
      <c r="A927" s="23"/>
      <c r="B927" s="23"/>
      <c r="C927" s="23"/>
      <c r="D927" s="23"/>
      <c r="E927" s="23"/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</row>
    <row r="928" spans="1:19">
      <c r="A928" s="23"/>
      <c r="B928" s="23"/>
      <c r="C928" s="23"/>
      <c r="D928" s="23"/>
      <c r="E928" s="23"/>
      <c r="F928" s="23"/>
      <c r="G928" s="23"/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</row>
    <row r="929" spans="1:19">
      <c r="A929" s="23"/>
      <c r="B929" s="23"/>
      <c r="C929" s="23"/>
      <c r="D929" s="23"/>
      <c r="E929" s="23"/>
      <c r="F929" s="23"/>
      <c r="G929" s="23"/>
      <c r="H929" s="23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</row>
    <row r="930" spans="1:19">
      <c r="A930" s="23"/>
      <c r="B930" s="23"/>
      <c r="C930" s="23"/>
      <c r="D930" s="23"/>
      <c r="E930" s="23"/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</row>
    <row r="931" spans="1:19">
      <c r="A931" s="23"/>
      <c r="B931" s="23"/>
      <c r="C931" s="23"/>
      <c r="D931" s="23"/>
      <c r="E931" s="23"/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</row>
    <row r="932" spans="1:19">
      <c r="A932" s="23"/>
      <c r="B932" s="23"/>
      <c r="C932" s="23"/>
      <c r="D932" s="23"/>
      <c r="E932" s="23"/>
      <c r="F932" s="23"/>
      <c r="G932" s="23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</row>
    <row r="933" spans="1:19">
      <c r="A933" s="23"/>
      <c r="B933" s="23"/>
      <c r="C933" s="23"/>
      <c r="D933" s="23"/>
      <c r="E933" s="23"/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</row>
    <row r="934" spans="1:19">
      <c r="A934" s="23"/>
      <c r="B934" s="23"/>
      <c r="C934" s="23"/>
      <c r="D934" s="23"/>
      <c r="E934" s="23"/>
      <c r="F934" s="23"/>
      <c r="G934" s="23"/>
      <c r="H934" s="23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</row>
    <row r="935" spans="1:19">
      <c r="A935" s="23"/>
      <c r="B935" s="23"/>
      <c r="C935" s="23"/>
      <c r="D935" s="23"/>
      <c r="E935" s="23"/>
      <c r="F935" s="23"/>
      <c r="G935" s="23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</row>
    <row r="936" spans="1:19">
      <c r="A936" s="23"/>
      <c r="B936" s="23"/>
      <c r="C936" s="23"/>
      <c r="D936" s="23"/>
      <c r="E936" s="23"/>
      <c r="F936" s="23"/>
      <c r="G936" s="23"/>
      <c r="H936" s="23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</row>
    <row r="937" spans="1:19">
      <c r="A937" s="23"/>
      <c r="B937" s="23"/>
      <c r="C937" s="23"/>
      <c r="D937" s="23"/>
      <c r="E937" s="23"/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</row>
    <row r="938" spans="1:19">
      <c r="A938" s="23"/>
      <c r="B938" s="23"/>
      <c r="C938" s="23"/>
      <c r="D938" s="23"/>
      <c r="E938" s="23"/>
      <c r="F938" s="23"/>
      <c r="G938" s="23"/>
      <c r="H938" s="23"/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</row>
    <row r="939" spans="1:19">
      <c r="A939" s="23"/>
      <c r="B939" s="23"/>
      <c r="C939" s="23"/>
      <c r="D939" s="23"/>
      <c r="E939" s="23"/>
      <c r="F939" s="23"/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</row>
    <row r="940" spans="1:19">
      <c r="A940" s="23"/>
      <c r="B940" s="23"/>
      <c r="C940" s="23"/>
      <c r="D940" s="23"/>
      <c r="E940" s="23"/>
      <c r="F940" s="23"/>
      <c r="G940" s="23"/>
      <c r="H940" s="23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</row>
    <row r="941" spans="1:19">
      <c r="A941" s="23"/>
      <c r="B941" s="23"/>
      <c r="C941" s="23"/>
      <c r="D941" s="23"/>
      <c r="E941" s="23"/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</row>
    <row r="942" spans="1:19">
      <c r="A942" s="23"/>
      <c r="B942" s="23"/>
      <c r="C942" s="23"/>
      <c r="D942" s="23"/>
      <c r="E942" s="23"/>
      <c r="F942" s="23"/>
      <c r="G942" s="23"/>
      <c r="H942" s="23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</row>
    <row r="943" spans="1:19">
      <c r="A943" s="23"/>
      <c r="B943" s="23"/>
      <c r="C943" s="23"/>
      <c r="D943" s="23"/>
      <c r="E943" s="23"/>
      <c r="F943" s="23"/>
      <c r="G943" s="23"/>
      <c r="H943" s="23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</row>
    <row r="944" spans="1:19">
      <c r="A944" s="23"/>
      <c r="B944" s="23"/>
      <c r="C944" s="23"/>
      <c r="D944" s="23"/>
      <c r="E944" s="23"/>
      <c r="F944" s="23"/>
      <c r="G944" s="23"/>
      <c r="H944" s="23"/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</row>
    <row r="945" spans="1:19">
      <c r="A945" s="23"/>
      <c r="B945" s="23"/>
      <c r="C945" s="23"/>
      <c r="D945" s="23"/>
      <c r="E945" s="23"/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</row>
    <row r="946" spans="1:19">
      <c r="A946" s="23"/>
      <c r="B946" s="23"/>
      <c r="C946" s="23"/>
      <c r="D946" s="23"/>
      <c r="E946" s="23"/>
      <c r="F946" s="23"/>
      <c r="G946" s="23"/>
      <c r="H946" s="23"/>
      <c r="I946" s="23"/>
      <c r="J946" s="23"/>
      <c r="K946" s="23"/>
      <c r="L946" s="23"/>
      <c r="M946" s="23"/>
      <c r="N946" s="23"/>
      <c r="O946" s="23"/>
      <c r="P946" s="23"/>
      <c r="Q946" s="23"/>
      <c r="R946" s="23"/>
      <c r="S946" s="23"/>
    </row>
    <row r="947" spans="1:19">
      <c r="A947" s="23"/>
      <c r="B947" s="23"/>
      <c r="C947" s="23"/>
      <c r="D947" s="23"/>
      <c r="E947" s="23"/>
      <c r="F947" s="23"/>
      <c r="G947" s="23"/>
      <c r="H947" s="23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</row>
    <row r="948" spans="1:19">
      <c r="A948" s="23"/>
      <c r="B948" s="23"/>
      <c r="C948" s="23"/>
      <c r="D948" s="23"/>
      <c r="E948" s="23"/>
      <c r="F948" s="23"/>
      <c r="G948" s="23"/>
      <c r="H948" s="23"/>
      <c r="I948" s="23"/>
      <c r="J948" s="23"/>
      <c r="K948" s="23"/>
      <c r="L948" s="23"/>
      <c r="M948" s="23"/>
      <c r="N948" s="23"/>
      <c r="O948" s="23"/>
      <c r="P948" s="23"/>
      <c r="Q948" s="23"/>
      <c r="R948" s="23"/>
      <c r="S948" s="23"/>
    </row>
    <row r="949" spans="1:19">
      <c r="A949" s="23"/>
      <c r="B949" s="23"/>
      <c r="C949" s="23"/>
      <c r="D949" s="23"/>
      <c r="E949" s="23"/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</row>
    <row r="950" spans="1:19">
      <c r="A950" s="23"/>
      <c r="B950" s="23"/>
      <c r="C950" s="23"/>
      <c r="D950" s="23"/>
      <c r="E950" s="23"/>
      <c r="F950" s="23"/>
      <c r="G950" s="23"/>
      <c r="H950" s="23"/>
      <c r="I950" s="23"/>
      <c r="J950" s="23"/>
      <c r="K950" s="23"/>
      <c r="L950" s="23"/>
      <c r="M950" s="23"/>
      <c r="N950" s="23"/>
      <c r="O950" s="23"/>
      <c r="P950" s="23"/>
      <c r="Q950" s="23"/>
      <c r="R950" s="23"/>
      <c r="S950" s="23"/>
    </row>
    <row r="951" spans="1:19">
      <c r="A951" s="23"/>
      <c r="B951" s="23"/>
      <c r="C951" s="23"/>
      <c r="D951" s="23"/>
      <c r="E951" s="23"/>
      <c r="F951" s="23"/>
      <c r="G951" s="23"/>
      <c r="H951" s="23"/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</row>
    <row r="952" spans="1:19">
      <c r="A952" s="23"/>
      <c r="B952" s="23"/>
      <c r="C952" s="23"/>
      <c r="D952" s="23"/>
      <c r="E952" s="23"/>
      <c r="F952" s="23"/>
      <c r="G952" s="23"/>
      <c r="H952" s="23"/>
      <c r="I952" s="23"/>
      <c r="J952" s="23"/>
      <c r="K952" s="23"/>
      <c r="L952" s="23"/>
      <c r="M952" s="23"/>
      <c r="N952" s="23"/>
      <c r="O952" s="23"/>
      <c r="P952" s="23"/>
      <c r="Q952" s="23"/>
      <c r="R952" s="23"/>
      <c r="S952" s="23"/>
    </row>
    <row r="953" spans="1:19">
      <c r="A953" s="23"/>
      <c r="B953" s="23"/>
      <c r="C953" s="23"/>
      <c r="D953" s="23"/>
      <c r="E953" s="23"/>
      <c r="F953" s="23"/>
      <c r="G953" s="23"/>
      <c r="H953" s="23"/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</row>
    <row r="954" spans="1:19">
      <c r="A954" s="23"/>
      <c r="B954" s="23"/>
      <c r="C954" s="23"/>
      <c r="D954" s="23"/>
      <c r="E954" s="23"/>
      <c r="F954" s="23"/>
      <c r="G954" s="23"/>
      <c r="H954" s="23"/>
      <c r="I954" s="23"/>
      <c r="J954" s="23"/>
      <c r="K954" s="23"/>
      <c r="L954" s="23"/>
      <c r="M954" s="23"/>
      <c r="N954" s="23"/>
      <c r="O954" s="23"/>
      <c r="P954" s="23"/>
      <c r="Q954" s="23"/>
      <c r="R954" s="23"/>
      <c r="S954" s="23"/>
    </row>
    <row r="955" spans="1:19">
      <c r="A955" s="23"/>
      <c r="B955" s="23"/>
      <c r="C955" s="23"/>
      <c r="D955" s="23"/>
      <c r="E955" s="23"/>
      <c r="F955" s="23"/>
      <c r="G955" s="23"/>
      <c r="H955" s="23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</row>
    <row r="956" spans="1:19">
      <c r="A956" s="23"/>
      <c r="B956" s="23"/>
      <c r="C956" s="23"/>
      <c r="D956" s="23"/>
      <c r="E956" s="23"/>
      <c r="F956" s="23"/>
      <c r="G956" s="23"/>
      <c r="H956" s="23"/>
      <c r="I956" s="23"/>
      <c r="J956" s="23"/>
      <c r="K956" s="23"/>
      <c r="L956" s="23"/>
      <c r="M956" s="23"/>
      <c r="N956" s="23"/>
      <c r="O956" s="23"/>
      <c r="P956" s="23"/>
      <c r="Q956" s="23"/>
      <c r="R956" s="23"/>
      <c r="S956" s="23"/>
    </row>
    <row r="957" spans="1:19">
      <c r="A957" s="23"/>
      <c r="B957" s="23"/>
      <c r="C957" s="23"/>
      <c r="D957" s="23"/>
      <c r="E957" s="23"/>
      <c r="F957" s="23"/>
      <c r="G957" s="23"/>
      <c r="H957" s="23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</row>
    <row r="958" spans="1:19">
      <c r="A958" s="23"/>
      <c r="B958" s="23"/>
      <c r="C958" s="23"/>
      <c r="D958" s="23"/>
      <c r="E958" s="23"/>
      <c r="F958" s="23"/>
      <c r="G958" s="23"/>
      <c r="H958" s="23"/>
      <c r="I958" s="23"/>
      <c r="J958" s="23"/>
      <c r="K958" s="23"/>
      <c r="L958" s="23"/>
      <c r="M958" s="23"/>
      <c r="N958" s="23"/>
      <c r="O958" s="23"/>
      <c r="P958" s="23"/>
      <c r="Q958" s="23"/>
      <c r="R958" s="23"/>
      <c r="S958" s="23"/>
    </row>
    <row r="959" spans="1:19">
      <c r="A959" s="23"/>
      <c r="B959" s="23"/>
      <c r="C959" s="23"/>
      <c r="D959" s="23"/>
      <c r="E959" s="23"/>
      <c r="F959" s="23"/>
      <c r="G959" s="23"/>
      <c r="H959" s="23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</row>
    <row r="960" spans="1:19">
      <c r="A960" s="23"/>
      <c r="B960" s="23"/>
      <c r="C960" s="23"/>
      <c r="D960" s="23"/>
      <c r="E960" s="23"/>
      <c r="F960" s="23"/>
      <c r="G960" s="23"/>
      <c r="H960" s="23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</row>
    <row r="961" spans="1:19">
      <c r="A961" s="23"/>
      <c r="B961" s="23"/>
      <c r="C961" s="23"/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</row>
    <row r="962" spans="1:19">
      <c r="A962" s="23"/>
      <c r="B962" s="23"/>
      <c r="C962" s="23"/>
      <c r="D962" s="23"/>
      <c r="E962" s="23"/>
      <c r="F962" s="23"/>
      <c r="G962" s="23"/>
      <c r="H962" s="23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</row>
    <row r="963" spans="1:19">
      <c r="A963" s="23"/>
      <c r="B963" s="23"/>
      <c r="C963" s="23"/>
      <c r="D963" s="23"/>
      <c r="E963" s="23"/>
      <c r="F963" s="23"/>
      <c r="G963" s="23"/>
      <c r="H963" s="23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</row>
    <row r="964" spans="1:19">
      <c r="A964" s="23"/>
      <c r="B964" s="23"/>
      <c r="C964" s="23"/>
      <c r="D964" s="23"/>
      <c r="E964" s="23"/>
      <c r="F964" s="23"/>
      <c r="G964" s="23"/>
      <c r="H964" s="23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</row>
    <row r="965" spans="1:19">
      <c r="A965" s="23"/>
      <c r="B965" s="23"/>
      <c r="C965" s="23"/>
      <c r="D965" s="23"/>
      <c r="E965" s="23"/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</row>
    <row r="966" spans="1:19">
      <c r="A966" s="23"/>
      <c r="B966" s="23"/>
      <c r="C966" s="23"/>
      <c r="D966" s="23"/>
      <c r="E966" s="23"/>
      <c r="F966" s="23"/>
      <c r="G966" s="23"/>
      <c r="H966" s="23"/>
      <c r="I966" s="23"/>
      <c r="J966" s="23"/>
      <c r="K966" s="23"/>
      <c r="L966" s="23"/>
      <c r="M966" s="23"/>
      <c r="N966" s="23"/>
      <c r="O966" s="23"/>
      <c r="P966" s="23"/>
      <c r="Q966" s="23"/>
      <c r="R966" s="23"/>
      <c r="S966" s="23"/>
    </row>
    <row r="967" spans="1:19">
      <c r="A967" s="23"/>
      <c r="B967" s="23"/>
      <c r="C967" s="23"/>
      <c r="D967" s="23"/>
      <c r="E967" s="23"/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</row>
    <row r="968" spans="1:19">
      <c r="A968" s="23"/>
      <c r="B968" s="23"/>
      <c r="C968" s="23"/>
      <c r="D968" s="23"/>
      <c r="E968" s="23"/>
      <c r="F968" s="23"/>
      <c r="G968" s="23"/>
      <c r="H968" s="23"/>
      <c r="I968" s="23"/>
      <c r="J968" s="23"/>
      <c r="K968" s="23"/>
      <c r="L968" s="23"/>
      <c r="M968" s="23"/>
      <c r="N968" s="23"/>
      <c r="O968" s="23"/>
      <c r="P968" s="23"/>
      <c r="Q968" s="23"/>
      <c r="R968" s="23"/>
      <c r="S968" s="23"/>
    </row>
    <row r="969" spans="1:19">
      <c r="A969" s="23"/>
      <c r="B969" s="23"/>
      <c r="C969" s="23"/>
      <c r="D969" s="23"/>
      <c r="E969" s="23"/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</row>
    <row r="970" spans="1:19">
      <c r="A970" s="23"/>
      <c r="B970" s="23"/>
      <c r="C970" s="23"/>
      <c r="D970" s="23"/>
      <c r="E970" s="23"/>
      <c r="F970" s="23"/>
      <c r="G970" s="23"/>
      <c r="H970" s="23"/>
      <c r="I970" s="23"/>
      <c r="J970" s="23"/>
      <c r="K970" s="23"/>
      <c r="L970" s="23"/>
      <c r="M970" s="23"/>
      <c r="N970" s="23"/>
      <c r="O970" s="23"/>
      <c r="P970" s="23"/>
      <c r="Q970" s="23"/>
      <c r="R970" s="23"/>
      <c r="S970" s="23"/>
    </row>
    <row r="971" spans="1:19">
      <c r="A971" s="23"/>
      <c r="B971" s="23"/>
      <c r="C971" s="23"/>
      <c r="D971" s="23"/>
      <c r="E971" s="23"/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</row>
    <row r="972" spans="1:19">
      <c r="A972" s="23"/>
      <c r="B972" s="23"/>
      <c r="C972" s="23"/>
      <c r="D972" s="23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</row>
    <row r="973" spans="1:19">
      <c r="A973" s="23"/>
      <c r="B973" s="23"/>
      <c r="C973" s="23"/>
      <c r="D973" s="23"/>
      <c r="E973" s="23"/>
      <c r="F973" s="23"/>
      <c r="G973" s="23"/>
      <c r="H973" s="23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</row>
    <row r="974" spans="1:19">
      <c r="A974" s="23"/>
      <c r="B974" s="23"/>
      <c r="C974" s="23"/>
      <c r="D974" s="23"/>
      <c r="E974" s="23"/>
      <c r="F974" s="23"/>
      <c r="G974" s="23"/>
      <c r="H974" s="23"/>
      <c r="I974" s="23"/>
      <c r="J974" s="23"/>
      <c r="K974" s="23"/>
      <c r="L974" s="23"/>
      <c r="M974" s="23"/>
      <c r="N974" s="23"/>
      <c r="O974" s="23"/>
      <c r="P974" s="23"/>
      <c r="Q974" s="23"/>
      <c r="R974" s="23"/>
      <c r="S974" s="23"/>
    </row>
    <row r="975" spans="1:19">
      <c r="A975" s="23"/>
      <c r="B975" s="23"/>
      <c r="C975" s="23"/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</row>
    <row r="976" spans="1:19">
      <c r="A976" s="23"/>
      <c r="B976" s="23"/>
      <c r="C976" s="23"/>
      <c r="D976" s="23"/>
      <c r="E976" s="23"/>
      <c r="F976" s="23"/>
      <c r="G976" s="23"/>
      <c r="H976" s="23"/>
      <c r="I976" s="23"/>
      <c r="J976" s="23"/>
      <c r="K976" s="23"/>
      <c r="L976" s="23"/>
      <c r="M976" s="23"/>
      <c r="N976" s="23"/>
      <c r="O976" s="23"/>
      <c r="P976" s="23"/>
      <c r="Q976" s="23"/>
      <c r="R976" s="23"/>
      <c r="S976" s="23"/>
    </row>
    <row r="977" spans="1:19">
      <c r="A977" s="23"/>
      <c r="B977" s="23"/>
      <c r="C977" s="23"/>
      <c r="D977" s="23"/>
      <c r="E977" s="23"/>
      <c r="F977" s="23"/>
      <c r="G977" s="23"/>
      <c r="H977" s="23"/>
      <c r="I977" s="23"/>
      <c r="J977" s="23"/>
      <c r="K977" s="23"/>
      <c r="L977" s="23"/>
      <c r="M977" s="23"/>
      <c r="N977" s="23"/>
      <c r="O977" s="23"/>
      <c r="P977" s="23"/>
      <c r="Q977" s="23"/>
      <c r="R977" s="23"/>
      <c r="S977" s="23"/>
    </row>
    <row r="978" spans="1:19">
      <c r="A978" s="23"/>
      <c r="B978" s="23"/>
      <c r="C978" s="23"/>
      <c r="D978" s="23"/>
      <c r="E978" s="23"/>
      <c r="F978" s="23"/>
      <c r="G978" s="23"/>
      <c r="H978" s="23"/>
      <c r="I978" s="23"/>
      <c r="J978" s="23"/>
      <c r="K978" s="23"/>
      <c r="L978" s="23"/>
      <c r="M978" s="23"/>
      <c r="N978" s="23"/>
      <c r="O978" s="23"/>
      <c r="P978" s="23"/>
      <c r="Q978" s="23"/>
      <c r="R978" s="23"/>
      <c r="S978" s="23"/>
    </row>
    <row r="979" spans="1:19">
      <c r="A979" s="23"/>
      <c r="B979" s="23"/>
      <c r="C979" s="23"/>
      <c r="D979" s="23"/>
      <c r="E979" s="23"/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</row>
    <row r="980" spans="1:19">
      <c r="A980" s="23"/>
      <c r="B980" s="23"/>
      <c r="C980" s="23"/>
      <c r="D980" s="23"/>
      <c r="E980" s="23"/>
      <c r="F980" s="23"/>
      <c r="G980" s="23"/>
      <c r="H980" s="23"/>
      <c r="I980" s="23"/>
      <c r="J980" s="23"/>
      <c r="K980" s="23"/>
      <c r="L980" s="23"/>
      <c r="M980" s="23"/>
      <c r="N980" s="23"/>
      <c r="O980" s="23"/>
      <c r="P980" s="23"/>
      <c r="Q980" s="23"/>
      <c r="R980" s="23"/>
      <c r="S980" s="23"/>
    </row>
    <row r="981" spans="1:19">
      <c r="A981" s="23"/>
      <c r="B981" s="23"/>
      <c r="C981" s="23"/>
      <c r="D981" s="23"/>
      <c r="E981" s="23"/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</row>
    <row r="982" spans="1:19">
      <c r="A982" s="23"/>
      <c r="B982" s="23"/>
      <c r="C982" s="23"/>
      <c r="D982" s="23"/>
      <c r="E982" s="23"/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</row>
    <row r="983" spans="1:19">
      <c r="A983" s="23"/>
      <c r="B983" s="23"/>
      <c r="C983" s="23"/>
      <c r="D983" s="23"/>
      <c r="E983" s="23"/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</row>
    <row r="984" spans="1:19">
      <c r="A984" s="23"/>
      <c r="B984" s="23"/>
      <c r="C984" s="23"/>
      <c r="D984" s="23"/>
      <c r="E984" s="23"/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</row>
    <row r="985" spans="1:19">
      <c r="A985" s="23"/>
      <c r="B985" s="23"/>
      <c r="C985" s="23"/>
      <c r="D985" s="23"/>
      <c r="E985" s="23"/>
      <c r="F985" s="23"/>
      <c r="G985" s="23"/>
      <c r="H985" s="23"/>
      <c r="I985" s="23"/>
      <c r="J985" s="23"/>
      <c r="K985" s="23"/>
      <c r="L985" s="23"/>
      <c r="M985" s="23"/>
      <c r="N985" s="23"/>
      <c r="O985" s="23"/>
      <c r="P985" s="23"/>
      <c r="Q985" s="23"/>
      <c r="R985" s="23"/>
      <c r="S985" s="23"/>
    </row>
    <row r="986" spans="1:19">
      <c r="A986" s="23"/>
      <c r="B986" s="23"/>
      <c r="C986" s="23"/>
      <c r="D986" s="23"/>
      <c r="E986" s="23"/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23"/>
    </row>
    <row r="987" spans="1:19">
      <c r="A987" s="23"/>
      <c r="B987" s="23"/>
      <c r="C987" s="23"/>
      <c r="D987" s="23"/>
      <c r="E987" s="23"/>
      <c r="F987" s="23"/>
      <c r="G987" s="23"/>
      <c r="H987" s="23"/>
      <c r="I987" s="23"/>
      <c r="J987" s="23"/>
      <c r="K987" s="23"/>
      <c r="L987" s="23"/>
      <c r="M987" s="23"/>
      <c r="N987" s="23"/>
      <c r="O987" s="23"/>
      <c r="P987" s="23"/>
      <c r="Q987" s="23"/>
      <c r="R987" s="23"/>
      <c r="S987" s="23"/>
    </row>
    <row r="988" spans="1:19">
      <c r="A988" s="23"/>
      <c r="B988" s="23"/>
      <c r="C988" s="23"/>
      <c r="D988" s="23"/>
      <c r="E988" s="23"/>
      <c r="F988" s="23"/>
      <c r="G988" s="23"/>
      <c r="H988" s="23"/>
      <c r="I988" s="23"/>
      <c r="J988" s="23"/>
      <c r="K988" s="23"/>
      <c r="L988" s="23"/>
      <c r="M988" s="23"/>
      <c r="N988" s="23"/>
      <c r="O988" s="23"/>
      <c r="P988" s="23"/>
      <c r="Q988" s="23"/>
      <c r="R988" s="23"/>
      <c r="S988" s="23"/>
    </row>
    <row r="989" spans="1:19">
      <c r="A989" s="23"/>
      <c r="B989" s="23"/>
      <c r="C989" s="23"/>
      <c r="D989" s="23"/>
      <c r="E989" s="23"/>
      <c r="F989" s="23"/>
      <c r="G989" s="23"/>
      <c r="H989" s="23"/>
      <c r="I989" s="23"/>
      <c r="J989" s="23"/>
      <c r="K989" s="23"/>
      <c r="L989" s="23"/>
      <c r="M989" s="23"/>
      <c r="N989" s="23"/>
      <c r="O989" s="23"/>
      <c r="P989" s="23"/>
      <c r="Q989" s="23"/>
      <c r="R989" s="23"/>
      <c r="S989" s="23"/>
    </row>
    <row r="990" spans="1:19">
      <c r="A990" s="23"/>
      <c r="B990" s="23"/>
      <c r="C990" s="23"/>
      <c r="D990" s="23"/>
      <c r="E990" s="23"/>
      <c r="F990" s="23"/>
      <c r="G990" s="23"/>
      <c r="H990" s="23"/>
      <c r="I990" s="23"/>
      <c r="J990" s="23"/>
      <c r="K990" s="23"/>
      <c r="L990" s="23"/>
      <c r="M990" s="23"/>
      <c r="N990" s="23"/>
      <c r="O990" s="23"/>
      <c r="P990" s="23"/>
      <c r="Q990" s="23"/>
      <c r="R990" s="23"/>
      <c r="S990" s="23"/>
    </row>
    <row r="991" spans="1:19">
      <c r="A991" s="23"/>
      <c r="B991" s="23"/>
      <c r="C991" s="23"/>
      <c r="D991" s="23"/>
      <c r="E991" s="23"/>
      <c r="F991" s="23"/>
      <c r="G991" s="23"/>
      <c r="H991" s="23"/>
      <c r="I991" s="23"/>
      <c r="J991" s="23"/>
      <c r="K991" s="23"/>
      <c r="L991" s="23"/>
      <c r="M991" s="23"/>
      <c r="N991" s="23"/>
      <c r="O991" s="23"/>
      <c r="P991" s="23"/>
      <c r="Q991" s="23"/>
      <c r="R991" s="23"/>
      <c r="S991" s="23"/>
    </row>
    <row r="992" spans="1:19">
      <c r="A992" s="23"/>
      <c r="B992" s="23"/>
      <c r="C992" s="23"/>
      <c r="D992" s="23"/>
      <c r="E992" s="23"/>
      <c r="F992" s="23"/>
      <c r="G992" s="23"/>
      <c r="H992" s="23"/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</row>
    <row r="993" spans="1:19">
      <c r="A993" s="23"/>
      <c r="B993" s="23"/>
      <c r="C993" s="23"/>
      <c r="D993" s="23"/>
      <c r="E993" s="23"/>
      <c r="F993" s="23"/>
      <c r="G993" s="23"/>
      <c r="H993" s="23"/>
      <c r="I993" s="23"/>
      <c r="J993" s="23"/>
      <c r="K993" s="23"/>
      <c r="L993" s="23"/>
      <c r="M993" s="23"/>
      <c r="N993" s="23"/>
      <c r="O993" s="23"/>
      <c r="P993" s="23"/>
      <c r="Q993" s="23"/>
      <c r="R993" s="23"/>
      <c r="S993" s="23"/>
    </row>
    <row r="994" spans="1:19">
      <c r="A994" s="23"/>
      <c r="B994" s="23"/>
      <c r="C994" s="23"/>
      <c r="D994" s="23"/>
      <c r="E994" s="23"/>
      <c r="F994" s="23"/>
      <c r="G994" s="23"/>
      <c r="H994" s="23"/>
      <c r="I994" s="23"/>
      <c r="J994" s="23"/>
      <c r="K994" s="23"/>
      <c r="L994" s="23"/>
      <c r="M994" s="23"/>
      <c r="N994" s="23"/>
      <c r="O994" s="23"/>
      <c r="P994" s="23"/>
      <c r="Q994" s="23"/>
      <c r="R994" s="23"/>
      <c r="S994" s="23"/>
    </row>
    <row r="995" spans="1:19">
      <c r="A995" s="23"/>
      <c r="B995" s="23"/>
      <c r="C995" s="23"/>
      <c r="D995" s="23"/>
      <c r="E995" s="23"/>
      <c r="F995" s="23"/>
      <c r="G995" s="23"/>
      <c r="H995" s="23"/>
      <c r="I995" s="23"/>
      <c r="J995" s="23"/>
      <c r="K995" s="23"/>
      <c r="L995" s="23"/>
      <c r="M995" s="23"/>
      <c r="N995" s="23"/>
      <c r="O995" s="23"/>
      <c r="P995" s="23"/>
      <c r="Q995" s="23"/>
      <c r="R995" s="23"/>
      <c r="S995" s="23"/>
    </row>
    <row r="996" spans="1:19">
      <c r="A996" s="23"/>
      <c r="B996" s="23"/>
      <c r="C996" s="23"/>
      <c r="D996" s="23"/>
      <c r="E996" s="23"/>
      <c r="F996" s="23"/>
      <c r="G996" s="23"/>
      <c r="H996" s="23"/>
      <c r="I996" s="23"/>
      <c r="J996" s="23"/>
      <c r="K996" s="23"/>
      <c r="L996" s="23"/>
      <c r="M996" s="23"/>
      <c r="N996" s="23"/>
      <c r="O996" s="23"/>
      <c r="P996" s="23"/>
      <c r="Q996" s="23"/>
      <c r="R996" s="23"/>
      <c r="S996" s="23"/>
    </row>
    <row r="997" spans="1:19">
      <c r="A997" s="23"/>
      <c r="B997" s="23"/>
      <c r="C997" s="23"/>
      <c r="D997" s="23"/>
      <c r="E997" s="23"/>
      <c r="F997" s="23"/>
      <c r="G997" s="23"/>
      <c r="H997" s="23"/>
      <c r="I997" s="23"/>
      <c r="J997" s="23"/>
      <c r="K997" s="23"/>
      <c r="L997" s="23"/>
      <c r="M997" s="23"/>
      <c r="N997" s="23"/>
      <c r="O997" s="23"/>
      <c r="P997" s="23"/>
      <c r="Q997" s="23"/>
      <c r="R997" s="23"/>
      <c r="S997" s="23"/>
    </row>
    <row r="998" spans="1:19">
      <c r="A998" s="23"/>
      <c r="B998" s="23"/>
      <c r="C998" s="23"/>
      <c r="D998" s="23"/>
      <c r="E998" s="23"/>
      <c r="F998" s="23"/>
      <c r="G998" s="23"/>
      <c r="H998" s="23"/>
      <c r="I998" s="23"/>
      <c r="J998" s="23"/>
      <c r="K998" s="23"/>
      <c r="L998" s="23"/>
      <c r="M998" s="23"/>
      <c r="N998" s="23"/>
      <c r="O998" s="23"/>
      <c r="P998" s="23"/>
      <c r="Q998" s="23"/>
      <c r="R998" s="23"/>
      <c r="S998" s="23"/>
    </row>
    <row r="999" spans="1:19">
      <c r="A999" s="23"/>
      <c r="B999" s="23"/>
      <c r="C999" s="23"/>
      <c r="D999" s="23"/>
      <c r="E999" s="23"/>
      <c r="F999" s="23"/>
      <c r="G999" s="23"/>
      <c r="H999" s="23"/>
      <c r="I999" s="23"/>
      <c r="J999" s="23"/>
      <c r="K999" s="23"/>
      <c r="L999" s="23"/>
      <c r="M999" s="23"/>
      <c r="N999" s="23"/>
      <c r="O999" s="23"/>
      <c r="P999" s="23"/>
      <c r="Q999" s="23"/>
      <c r="R999" s="23"/>
      <c r="S999" s="23"/>
    </row>
    <row r="1000" spans="1:19">
      <c r="A1000" s="23"/>
      <c r="B1000" s="23"/>
      <c r="C1000" s="23"/>
      <c r="D1000" s="23"/>
      <c r="E1000" s="23"/>
      <c r="F1000" s="23"/>
      <c r="G1000" s="23"/>
      <c r="H1000" s="23"/>
      <c r="I1000" s="23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outlinePr summaryBelow="0" summaryRight="0"/>
  </sheetPr>
  <dimension ref="A1:S1000"/>
  <sheetViews>
    <sheetView workbookViewId="0"/>
  </sheetViews>
  <sheetFormatPr baseColWidth="10" defaultColWidth="11.1640625" defaultRowHeight="15" customHeight="1"/>
  <sheetData>
    <row r="1" spans="1:19">
      <c r="A1" s="23" t="str">
        <f ca="1">IFERROR(__xludf.DUMMYFUNCTION("IMPORTRANGE(""hhttps://docs.google.com/spreadsheets/d/1Hcep2QDERifr2pDwF94FUrZnrGAyRgFF3hpZllUAk2A/edit?gid=1342347987#gid=1342347987"",""01!A1:S"")"),"INDICADORES")</f>
        <v>INDICADORES</v>
      </c>
      <c r="B1" s="23" t="str">
        <f ca="1">IFERROR(__xludf.DUMMYFUNCTION("""COMPUTED_VALUE"""),"META ANUAL")</f>
        <v>META ANUAL</v>
      </c>
      <c r="C1" s="23" t="str">
        <f ca="1">IFERROR(__xludf.DUMMYFUNCTION("""COMPUTED_VALUE"""),"UNIDAD DE MEDIDA")</f>
        <v>UNIDAD DE MEDIDA</v>
      </c>
      <c r="D1" s="23" t="str">
        <f ca="1">IFERROR(__xludf.DUMMYFUNCTION("""COMPUTED_VALUE"""),"TIPO DE INDICADOR")</f>
        <v>TIPO DE INDICADOR</v>
      </c>
      <c r="E1" s="23" t="str">
        <f ca="1">IFERROR(__xludf.DUMMYFUNCTION("""COMPUTED_VALUE"""),"MEDIO DE VERIFICACION")</f>
        <v>MEDIO DE VERIFICACION</v>
      </c>
      <c r="F1" s="23" t="str">
        <f ca="1">IFERROR(__xludf.DUMMYFUNCTION("""COMPUTED_VALUE"""),"% AVANCE ")</f>
        <v xml:space="preserve">% AVANCE </v>
      </c>
      <c r="G1" s="23" t="str">
        <f ca="1">IFERROR(__xludf.DUMMYFUNCTION("""COMPUTED_VALUE"""),"OCTUBRE")</f>
        <v>OCTUBRE</v>
      </c>
      <c r="H1" s="23" t="str">
        <f ca="1">IFERROR(__xludf.DUMMYFUNCTION("""COMPUTED_VALUE"""),"NOVIEMBRE")</f>
        <v>NOVIEMBRE</v>
      </c>
      <c r="I1" s="23" t="str">
        <f ca="1">IFERROR(__xludf.DUMMYFUNCTION("""COMPUTED_VALUE"""),"DICIEMBRE")</f>
        <v>DICIEMBRE</v>
      </c>
      <c r="J1" s="23" t="str">
        <f ca="1">IFERROR(__xludf.DUMMYFUNCTION("""COMPUTED_VALUE"""),"ENERO ")</f>
        <v xml:space="preserve">ENERO </v>
      </c>
      <c r="K1" s="23" t="str">
        <f ca="1">IFERROR(__xludf.DUMMYFUNCTION("""COMPUTED_VALUE"""),"FEBRERO")</f>
        <v>FEBRERO</v>
      </c>
      <c r="L1" s="23" t="str">
        <f ca="1">IFERROR(__xludf.DUMMYFUNCTION("""COMPUTED_VALUE"""),"MARZO")</f>
        <v>MARZO</v>
      </c>
      <c r="M1" s="23" t="str">
        <f ca="1">IFERROR(__xludf.DUMMYFUNCTION("""COMPUTED_VALUE"""),"ABRIL")</f>
        <v>ABRIL</v>
      </c>
      <c r="N1" s="23" t="str">
        <f ca="1">IFERROR(__xludf.DUMMYFUNCTION("""COMPUTED_VALUE"""),"MAYO")</f>
        <v>MAYO</v>
      </c>
      <c r="O1" s="23" t="str">
        <f ca="1">IFERROR(__xludf.DUMMYFUNCTION("""COMPUTED_VALUE"""),"JUNIO")</f>
        <v>JUNIO</v>
      </c>
      <c r="P1" s="23" t="str">
        <f ca="1">IFERROR(__xludf.DUMMYFUNCTION("""COMPUTED_VALUE"""),"JULIO")</f>
        <v>JULIO</v>
      </c>
      <c r="Q1" s="23" t="str">
        <f ca="1">IFERROR(__xludf.DUMMYFUNCTION("""COMPUTED_VALUE"""),"AGOSTO")</f>
        <v>AGOSTO</v>
      </c>
      <c r="R1" s="23" t="str">
        <f ca="1">IFERROR(__xludf.DUMMYFUNCTION("""COMPUTED_VALUE"""),"SEPTIEMBRE")</f>
        <v>SEPTIEMBRE</v>
      </c>
      <c r="S1" s="23" t="str">
        <f ca="1">IFERROR(__xludf.DUMMYFUNCTION("""COMPUTED_VALUE"""),"SUMATORIA TOTAL")</f>
        <v>SUMATORIA TOTAL</v>
      </c>
    </row>
    <row r="2" spans="1:19">
      <c r="A2" s="23" t="str">
        <f ca="1">IFERROR(__xludf.DUMMYFUNCTION("""COMPUTED_VALUE"""),"CERTIFICACIONES")</f>
        <v>CERTIFICACIONES</v>
      </c>
      <c r="B2" s="23">
        <f ca="1">IFERROR(__xludf.DUMMYFUNCTION("""COMPUTED_VALUE"""),1)</f>
        <v>1</v>
      </c>
      <c r="C2" s="23" t="str">
        <f ca="1">IFERROR(__xludf.DUMMYFUNCTION("""COMPUTED_VALUE"""),"CERTIFICACIONES")</f>
        <v>CERTIFICACIONES</v>
      </c>
      <c r="D2" s="23" t="str">
        <f ca="1">IFERROR(__xludf.DUMMYFUNCTION("""COMPUTED_VALUE"""),"ASCENDENTE")</f>
        <v>ASCENDENTE</v>
      </c>
      <c r="E2" s="23" t="str">
        <f ca="1">IFERROR(__xludf.DUMMYFUNCTION("""COMPUTED_VALUE"""),"SESIONES PUBLICAS")</f>
        <v>SESIONES PUBLICAS</v>
      </c>
      <c r="F2" s="23">
        <f ca="1">IFERROR(__xludf.DUMMYFUNCTION("""COMPUTED_VALUE"""),0)</f>
        <v>0</v>
      </c>
      <c r="G2" s="23">
        <f ca="1">IFERROR(__xludf.DUMMYFUNCTION("""COMPUTED_VALUE"""),0)</f>
        <v>0</v>
      </c>
      <c r="H2" s="23">
        <f ca="1">IFERROR(__xludf.DUMMYFUNCTION("""COMPUTED_VALUE"""),0)</f>
        <v>0</v>
      </c>
      <c r="I2" s="23">
        <f ca="1">IFERROR(__xludf.DUMMYFUNCTION("""COMPUTED_VALUE"""),0)</f>
        <v>0</v>
      </c>
      <c r="J2" s="23">
        <f ca="1">IFERROR(__xludf.DUMMYFUNCTION("""COMPUTED_VALUE"""),0)</f>
        <v>0</v>
      </c>
      <c r="K2" s="23">
        <f ca="1">IFERROR(__xludf.DUMMYFUNCTION("""COMPUTED_VALUE"""),0)</f>
        <v>0</v>
      </c>
      <c r="L2" s="23">
        <f ca="1">IFERROR(__xludf.DUMMYFUNCTION("""COMPUTED_VALUE"""),0)</f>
        <v>0</v>
      </c>
      <c r="M2" s="23">
        <f ca="1">IFERROR(__xludf.DUMMYFUNCTION("""COMPUTED_VALUE"""),0)</f>
        <v>0</v>
      </c>
      <c r="N2" s="23">
        <f ca="1">IFERROR(__xludf.DUMMYFUNCTION("""COMPUTED_VALUE"""),0)</f>
        <v>0</v>
      </c>
      <c r="O2" s="23">
        <f ca="1">IFERROR(__xludf.DUMMYFUNCTION("""COMPUTED_VALUE"""),0)</f>
        <v>0</v>
      </c>
      <c r="P2" s="23">
        <f ca="1">IFERROR(__xludf.DUMMYFUNCTION("""COMPUTED_VALUE"""),0)</f>
        <v>0</v>
      </c>
      <c r="Q2" s="23">
        <f ca="1">IFERROR(__xludf.DUMMYFUNCTION("""COMPUTED_VALUE"""),0)</f>
        <v>0</v>
      </c>
      <c r="R2" s="23">
        <f ca="1">IFERROR(__xludf.DUMMYFUNCTION("""COMPUTED_VALUE"""),0)</f>
        <v>0</v>
      </c>
      <c r="S2" s="23">
        <f ca="1">IFERROR(__xludf.DUMMYFUNCTION("""COMPUTED_VALUE"""),0)</f>
        <v>0</v>
      </c>
    </row>
    <row r="3" spans="1:19">
      <c r="A3" s="23" t="str">
        <f ca="1">IFERROR(__xludf.DUMMYFUNCTION("""COMPUTED_VALUE"""),"COPIAS")</f>
        <v>COPIAS</v>
      </c>
      <c r="B3" s="23">
        <f ca="1">IFERROR(__xludf.DUMMYFUNCTION("""COMPUTED_VALUE"""),1)</f>
        <v>1</v>
      </c>
      <c r="C3" s="23" t="str">
        <f ca="1">IFERROR(__xludf.DUMMYFUNCTION("""COMPUTED_VALUE"""),"COPIAS")</f>
        <v>COPIAS</v>
      </c>
      <c r="D3" s="23" t="str">
        <f ca="1">IFERROR(__xludf.DUMMYFUNCTION("""COMPUTED_VALUE"""),"ASCENDENTE")</f>
        <v>ASCENDENTE</v>
      </c>
      <c r="E3" s="23" t="str">
        <f ca="1">IFERROR(__xludf.DUMMYFUNCTION("""COMPUTED_VALUE"""),"BITACORA DE ATENCION")</f>
        <v>BITACORA DE ATENCION</v>
      </c>
      <c r="F3" s="23">
        <f ca="1">IFERROR(__xludf.DUMMYFUNCTION("""COMPUTED_VALUE"""),0)</f>
        <v>0</v>
      </c>
      <c r="G3" s="23">
        <f ca="1">IFERROR(__xludf.DUMMYFUNCTION("""COMPUTED_VALUE"""),0)</f>
        <v>0</v>
      </c>
      <c r="H3" s="23">
        <f ca="1">IFERROR(__xludf.DUMMYFUNCTION("""COMPUTED_VALUE"""),0)</f>
        <v>0</v>
      </c>
      <c r="I3" s="23">
        <f ca="1">IFERROR(__xludf.DUMMYFUNCTION("""COMPUTED_VALUE"""),0)</f>
        <v>0</v>
      </c>
      <c r="J3" s="23">
        <f ca="1">IFERROR(__xludf.DUMMYFUNCTION("""COMPUTED_VALUE"""),0)</f>
        <v>0</v>
      </c>
      <c r="K3" s="23">
        <f ca="1">IFERROR(__xludf.DUMMYFUNCTION("""COMPUTED_VALUE"""),0)</f>
        <v>0</v>
      </c>
      <c r="L3" s="23">
        <f ca="1">IFERROR(__xludf.DUMMYFUNCTION("""COMPUTED_VALUE"""),0)</f>
        <v>0</v>
      </c>
      <c r="M3" s="23">
        <f ca="1">IFERROR(__xludf.DUMMYFUNCTION("""COMPUTED_VALUE"""),0)</f>
        <v>0</v>
      </c>
      <c r="N3" s="23">
        <f ca="1">IFERROR(__xludf.DUMMYFUNCTION("""COMPUTED_VALUE"""),0)</f>
        <v>0</v>
      </c>
      <c r="O3" s="23">
        <f ca="1">IFERROR(__xludf.DUMMYFUNCTION("""COMPUTED_VALUE"""),0)</f>
        <v>0</v>
      </c>
      <c r="P3" s="23">
        <f ca="1">IFERROR(__xludf.DUMMYFUNCTION("""COMPUTED_VALUE"""),0)</f>
        <v>0</v>
      </c>
      <c r="Q3" s="23">
        <f ca="1">IFERROR(__xludf.DUMMYFUNCTION("""COMPUTED_VALUE"""),0)</f>
        <v>0</v>
      </c>
      <c r="R3" s="23">
        <f ca="1">IFERROR(__xludf.DUMMYFUNCTION("""COMPUTED_VALUE"""),0)</f>
        <v>0</v>
      </c>
      <c r="S3" s="23">
        <f ca="1">IFERROR(__xludf.DUMMYFUNCTION("""COMPUTED_VALUE"""),0)</f>
        <v>0</v>
      </c>
    </row>
    <row r="4" spans="1:19">
      <c r="A4" s="23" t="str">
        <f ca="1">IFERROR(__xludf.DUMMYFUNCTION("""COMPUTED_VALUE"""),"VALUACION Y CARTOGRAFIA")</f>
        <v>VALUACION Y CARTOGRAFIA</v>
      </c>
      <c r="B4" s="23">
        <f ca="1">IFERROR(__xludf.DUMMYFUNCTION("""COMPUTED_VALUE"""),1)</f>
        <v>1</v>
      </c>
      <c r="C4" s="23" t="str">
        <f ca="1">IFERROR(__xludf.DUMMYFUNCTION("""COMPUTED_VALUE"""),"VALUACIONES")</f>
        <v>VALUACIONES</v>
      </c>
      <c r="D4" s="23" t="str">
        <f ca="1">IFERROR(__xludf.DUMMYFUNCTION("""COMPUTED_VALUE"""),"ASCENDENTE")</f>
        <v>ASCENDENTE</v>
      </c>
      <c r="E4" s="23" t="str">
        <f ca="1">IFERROR(__xludf.DUMMYFUNCTION("""COMPUTED_VALUE"""),"BITACORA DE ATENCION")</f>
        <v>BITACORA DE ATENCION</v>
      </c>
      <c r="F4" s="23">
        <f ca="1">IFERROR(__xludf.DUMMYFUNCTION("""COMPUTED_VALUE"""),0)</f>
        <v>0</v>
      </c>
      <c r="G4" s="23">
        <f ca="1">IFERROR(__xludf.DUMMYFUNCTION("""COMPUTED_VALUE"""),0)</f>
        <v>0</v>
      </c>
      <c r="H4" s="23">
        <f ca="1">IFERROR(__xludf.DUMMYFUNCTION("""COMPUTED_VALUE"""),0)</f>
        <v>0</v>
      </c>
      <c r="I4" s="23">
        <f ca="1">IFERROR(__xludf.DUMMYFUNCTION("""COMPUTED_VALUE"""),0)</f>
        <v>0</v>
      </c>
      <c r="J4" s="23">
        <f ca="1">IFERROR(__xludf.DUMMYFUNCTION("""COMPUTED_VALUE"""),0)</f>
        <v>0</v>
      </c>
      <c r="K4" s="23">
        <f ca="1">IFERROR(__xludf.DUMMYFUNCTION("""COMPUTED_VALUE"""),0)</f>
        <v>0</v>
      </c>
      <c r="L4" s="23">
        <f ca="1">IFERROR(__xludf.DUMMYFUNCTION("""COMPUTED_VALUE"""),0)</f>
        <v>0</v>
      </c>
      <c r="M4" s="23">
        <f ca="1">IFERROR(__xludf.DUMMYFUNCTION("""COMPUTED_VALUE"""),0)</f>
        <v>0</v>
      </c>
      <c r="N4" s="23">
        <f ca="1">IFERROR(__xludf.DUMMYFUNCTION("""COMPUTED_VALUE"""),0)</f>
        <v>0</v>
      </c>
      <c r="O4" s="23">
        <f ca="1">IFERROR(__xludf.DUMMYFUNCTION("""COMPUTED_VALUE"""),0)</f>
        <v>0</v>
      </c>
      <c r="P4" s="23">
        <f ca="1">IFERROR(__xludf.DUMMYFUNCTION("""COMPUTED_VALUE"""),0)</f>
        <v>0</v>
      </c>
      <c r="Q4" s="23">
        <f ca="1">IFERROR(__xludf.DUMMYFUNCTION("""COMPUTED_VALUE"""),0)</f>
        <v>0</v>
      </c>
      <c r="R4" s="23">
        <f ca="1">IFERROR(__xludf.DUMMYFUNCTION("""COMPUTED_VALUE"""),0)</f>
        <v>0</v>
      </c>
      <c r="S4" s="23">
        <f ca="1">IFERROR(__xludf.DUMMYFUNCTION("""COMPUTED_VALUE"""),0)</f>
        <v>0</v>
      </c>
    </row>
    <row r="5" spans="1:19">
      <c r="A5" s="23" t="str">
        <f ca="1">IFERROR(__xludf.DUMMYFUNCTION("""COMPUTED_VALUE"""),"TRAMITES Y REGISTRO")</f>
        <v>TRAMITES Y REGISTRO</v>
      </c>
      <c r="B5" s="23">
        <f ca="1">IFERROR(__xludf.DUMMYFUNCTION("""COMPUTED_VALUE"""),1)</f>
        <v>1</v>
      </c>
      <c r="C5" s="23" t="str">
        <f ca="1">IFERROR(__xludf.DUMMYFUNCTION("""COMPUTED_VALUE"""),"REGISTROS")</f>
        <v>REGISTROS</v>
      </c>
      <c r="D5" s="23" t="str">
        <f ca="1">IFERROR(__xludf.DUMMYFUNCTION("""COMPUTED_VALUE"""),"ASCENDENTE")</f>
        <v>ASCENDENTE</v>
      </c>
      <c r="E5" s="23" t="str">
        <f ca="1">IFERROR(__xludf.DUMMYFUNCTION("""COMPUTED_VALUE"""),"BITACORA OPERATIVA")</f>
        <v>BITACORA OPERATIVA</v>
      </c>
      <c r="F5" s="23">
        <f ca="1">IFERROR(__xludf.DUMMYFUNCTION("""COMPUTED_VALUE"""),0)</f>
        <v>0</v>
      </c>
      <c r="G5" s="23">
        <f ca="1">IFERROR(__xludf.DUMMYFUNCTION("""COMPUTED_VALUE"""),0)</f>
        <v>0</v>
      </c>
      <c r="H5" s="23">
        <f ca="1">IFERROR(__xludf.DUMMYFUNCTION("""COMPUTED_VALUE"""),0)</f>
        <v>0</v>
      </c>
      <c r="I5" s="23">
        <f ca="1">IFERROR(__xludf.DUMMYFUNCTION("""COMPUTED_VALUE"""),0)</f>
        <v>0</v>
      </c>
      <c r="J5" s="23">
        <f ca="1">IFERROR(__xludf.DUMMYFUNCTION("""COMPUTED_VALUE"""),0)</f>
        <v>0</v>
      </c>
      <c r="K5" s="23">
        <f ca="1">IFERROR(__xludf.DUMMYFUNCTION("""COMPUTED_VALUE"""),0)</f>
        <v>0</v>
      </c>
      <c r="L5" s="23">
        <f ca="1">IFERROR(__xludf.DUMMYFUNCTION("""COMPUTED_VALUE"""),0)</f>
        <v>0</v>
      </c>
      <c r="M5" s="23">
        <f ca="1">IFERROR(__xludf.DUMMYFUNCTION("""COMPUTED_VALUE"""),0)</f>
        <v>0</v>
      </c>
      <c r="N5" s="23">
        <f ca="1">IFERROR(__xludf.DUMMYFUNCTION("""COMPUTED_VALUE"""),0)</f>
        <v>0</v>
      </c>
      <c r="O5" s="23">
        <f ca="1">IFERROR(__xludf.DUMMYFUNCTION("""COMPUTED_VALUE"""),0)</f>
        <v>0</v>
      </c>
      <c r="P5" s="23">
        <f ca="1">IFERROR(__xludf.DUMMYFUNCTION("""COMPUTED_VALUE"""),0)</f>
        <v>0</v>
      </c>
      <c r="Q5" s="23">
        <f ca="1">IFERROR(__xludf.DUMMYFUNCTION("""COMPUTED_VALUE"""),0)</f>
        <v>0</v>
      </c>
      <c r="R5" s="23">
        <f ca="1">IFERROR(__xludf.DUMMYFUNCTION("""COMPUTED_VALUE"""),0)</f>
        <v>0</v>
      </c>
      <c r="S5" s="23">
        <f ca="1">IFERROR(__xludf.DUMMYFUNCTION("""COMPUTED_VALUE"""),0)</f>
        <v>0</v>
      </c>
    </row>
    <row r="6" spans="1:19">
      <c r="A6" s="23" t="str">
        <f ca="1">IFERROR(__xludf.DUMMYFUNCTION("""COMPUTED_VALUE"""),"ENTREGA DE CUENTAS PUBLICAS")</f>
        <v>ENTREGA DE CUENTAS PUBLICAS</v>
      </c>
      <c r="B6" s="23">
        <f ca="1">IFERROR(__xludf.DUMMYFUNCTION("""COMPUTED_VALUE"""),1)</f>
        <v>1</v>
      </c>
      <c r="C6" s="23" t="str">
        <f ca="1">IFERROR(__xludf.DUMMYFUNCTION("""COMPUTED_VALUE"""),"CUENTAS")</f>
        <v>CUENTAS</v>
      </c>
      <c r="D6" s="23" t="str">
        <f ca="1">IFERROR(__xludf.DUMMYFUNCTION("""COMPUTED_VALUE"""),"ASCENDENTE")</f>
        <v>ASCENDENTE</v>
      </c>
      <c r="E6" s="23" t="str">
        <f ca="1">IFERROR(__xludf.DUMMYFUNCTION("""COMPUTED_VALUE"""),"BITACORA OPERATIVA")</f>
        <v>BITACORA OPERATIVA</v>
      </c>
      <c r="F6" s="23">
        <f ca="1">IFERROR(__xludf.DUMMYFUNCTION("""COMPUTED_VALUE"""),0)</f>
        <v>0</v>
      </c>
      <c r="G6" s="23">
        <f ca="1">IFERROR(__xludf.DUMMYFUNCTION("""COMPUTED_VALUE"""),0)</f>
        <v>0</v>
      </c>
      <c r="H6" s="23">
        <f ca="1">IFERROR(__xludf.DUMMYFUNCTION("""COMPUTED_VALUE"""),0)</f>
        <v>0</v>
      </c>
      <c r="I6" s="23">
        <f ca="1">IFERROR(__xludf.DUMMYFUNCTION("""COMPUTED_VALUE"""),0)</f>
        <v>0</v>
      </c>
      <c r="J6" s="23">
        <f ca="1">IFERROR(__xludf.DUMMYFUNCTION("""COMPUTED_VALUE"""),0)</f>
        <v>0</v>
      </c>
      <c r="K6" s="23">
        <f ca="1">IFERROR(__xludf.DUMMYFUNCTION("""COMPUTED_VALUE"""),0)</f>
        <v>0</v>
      </c>
      <c r="L6" s="23">
        <f ca="1">IFERROR(__xludf.DUMMYFUNCTION("""COMPUTED_VALUE"""),0)</f>
        <v>0</v>
      </c>
      <c r="M6" s="23">
        <f ca="1">IFERROR(__xludf.DUMMYFUNCTION("""COMPUTED_VALUE"""),0)</f>
        <v>0</v>
      </c>
      <c r="N6" s="23">
        <f ca="1">IFERROR(__xludf.DUMMYFUNCTION("""COMPUTED_VALUE"""),0)</f>
        <v>0</v>
      </c>
      <c r="O6" s="23">
        <f ca="1">IFERROR(__xludf.DUMMYFUNCTION("""COMPUTED_VALUE"""),0)</f>
        <v>0</v>
      </c>
      <c r="P6" s="23">
        <f ca="1">IFERROR(__xludf.DUMMYFUNCTION("""COMPUTED_VALUE"""),0)</f>
        <v>0</v>
      </c>
      <c r="Q6" s="23">
        <f ca="1">IFERROR(__xludf.DUMMYFUNCTION("""COMPUTED_VALUE"""),0)</f>
        <v>0</v>
      </c>
      <c r="R6" s="23">
        <f ca="1">IFERROR(__xludf.DUMMYFUNCTION("""COMPUTED_VALUE"""),0)</f>
        <v>0</v>
      </c>
      <c r="S6" s="23">
        <f ca="1">IFERROR(__xludf.DUMMYFUNCTION("""COMPUTED_VALUE"""),0)</f>
        <v>0</v>
      </c>
    </row>
    <row r="7" spans="1:19">
      <c r="A7" s="23" t="str">
        <f ca="1">IFERROR(__xludf.DUMMYFUNCTION("""COMPUTED_VALUE"""),"ATENCION A AUDITORIAS ESTATALES")</f>
        <v>ATENCION A AUDITORIAS ESTATALES</v>
      </c>
      <c r="B7" s="23">
        <f ca="1">IFERROR(__xludf.DUMMYFUNCTION("""COMPUTED_VALUE"""),1)</f>
        <v>1</v>
      </c>
      <c r="C7" s="23" t="str">
        <f ca="1">IFERROR(__xludf.DUMMYFUNCTION("""COMPUTED_VALUE"""),"AUDITORIAS")</f>
        <v>AUDITORIAS</v>
      </c>
      <c r="D7" s="23" t="str">
        <f ca="1">IFERROR(__xludf.DUMMYFUNCTION("""COMPUTED_VALUE"""),"ASCENDENTE")</f>
        <v>ASCENDENTE</v>
      </c>
      <c r="E7" s="23" t="str">
        <f ca="1">IFERROR(__xludf.DUMMYFUNCTION("""COMPUTED_VALUE"""),"BITACORA OPERATIVA")</f>
        <v>BITACORA OPERATIVA</v>
      </c>
      <c r="F7" s="23">
        <f ca="1">IFERROR(__xludf.DUMMYFUNCTION("""COMPUTED_VALUE"""),0)</f>
        <v>0</v>
      </c>
      <c r="G7" s="23">
        <f ca="1">IFERROR(__xludf.DUMMYFUNCTION("""COMPUTED_VALUE"""),0)</f>
        <v>0</v>
      </c>
      <c r="H7" s="23">
        <f ca="1">IFERROR(__xludf.DUMMYFUNCTION("""COMPUTED_VALUE"""),0)</f>
        <v>0</v>
      </c>
      <c r="I7" s="23">
        <f ca="1">IFERROR(__xludf.DUMMYFUNCTION("""COMPUTED_VALUE"""),0)</f>
        <v>0</v>
      </c>
      <c r="J7" s="23">
        <f ca="1">IFERROR(__xludf.DUMMYFUNCTION("""COMPUTED_VALUE"""),0)</f>
        <v>0</v>
      </c>
      <c r="K7" s="23">
        <f ca="1">IFERROR(__xludf.DUMMYFUNCTION("""COMPUTED_VALUE"""),0)</f>
        <v>0</v>
      </c>
      <c r="L7" s="23">
        <f ca="1">IFERROR(__xludf.DUMMYFUNCTION("""COMPUTED_VALUE"""),0)</f>
        <v>0</v>
      </c>
      <c r="M7" s="23">
        <f ca="1">IFERROR(__xludf.DUMMYFUNCTION("""COMPUTED_VALUE"""),0)</f>
        <v>0</v>
      </c>
      <c r="N7" s="23">
        <f ca="1">IFERROR(__xludf.DUMMYFUNCTION("""COMPUTED_VALUE"""),0)</f>
        <v>0</v>
      </c>
      <c r="O7" s="23">
        <f ca="1">IFERROR(__xludf.DUMMYFUNCTION("""COMPUTED_VALUE"""),0)</f>
        <v>0</v>
      </c>
      <c r="P7" s="23">
        <f ca="1">IFERROR(__xludf.DUMMYFUNCTION("""COMPUTED_VALUE"""),0)</f>
        <v>0</v>
      </c>
      <c r="Q7" s="23">
        <f ca="1">IFERROR(__xludf.DUMMYFUNCTION("""COMPUTED_VALUE"""),0)</f>
        <v>0</v>
      </c>
      <c r="R7" s="23">
        <f ca="1">IFERROR(__xludf.DUMMYFUNCTION("""COMPUTED_VALUE"""),0)</f>
        <v>0</v>
      </c>
      <c r="S7" s="23">
        <f ca="1">IFERROR(__xludf.DUMMYFUNCTION("""COMPUTED_VALUE"""),0)</f>
        <v>0</v>
      </c>
    </row>
    <row r="8" spans="1:19">
      <c r="A8" s="23" t="str">
        <f ca="1">IFERROR(__xludf.DUMMYFUNCTION("""COMPUTED_VALUE"""),"ATENCION A AUDITORIAS INTERNAS")</f>
        <v>ATENCION A AUDITORIAS INTERNAS</v>
      </c>
      <c r="B8" s="23">
        <f ca="1">IFERROR(__xludf.DUMMYFUNCTION("""COMPUTED_VALUE"""),1)</f>
        <v>1</v>
      </c>
      <c r="C8" s="23" t="str">
        <f ca="1">IFERROR(__xludf.DUMMYFUNCTION("""COMPUTED_VALUE"""),"AUDITORIAS INTERNAS")</f>
        <v>AUDITORIAS INTERNAS</v>
      </c>
      <c r="D8" s="23" t="str">
        <f ca="1">IFERROR(__xludf.DUMMYFUNCTION("""COMPUTED_VALUE"""),"ASCENDENTE")</f>
        <v>ASCENDENTE</v>
      </c>
      <c r="E8" s="23" t="str">
        <f ca="1">IFERROR(__xludf.DUMMYFUNCTION("""COMPUTED_VALUE"""),"BITACORA OPERATIVA")</f>
        <v>BITACORA OPERATIVA</v>
      </c>
      <c r="F8" s="23">
        <f ca="1">IFERROR(__xludf.DUMMYFUNCTION("""COMPUTED_VALUE"""),0)</f>
        <v>0</v>
      </c>
      <c r="G8" s="23">
        <f ca="1">IFERROR(__xludf.DUMMYFUNCTION("""COMPUTED_VALUE"""),0)</f>
        <v>0</v>
      </c>
      <c r="H8" s="23">
        <f ca="1">IFERROR(__xludf.DUMMYFUNCTION("""COMPUTED_VALUE"""),0)</f>
        <v>0</v>
      </c>
      <c r="I8" s="23">
        <f ca="1">IFERROR(__xludf.DUMMYFUNCTION("""COMPUTED_VALUE"""),0)</f>
        <v>0</v>
      </c>
      <c r="J8" s="23">
        <f ca="1">IFERROR(__xludf.DUMMYFUNCTION("""COMPUTED_VALUE"""),0)</f>
        <v>0</v>
      </c>
      <c r="K8" s="23">
        <f ca="1">IFERROR(__xludf.DUMMYFUNCTION("""COMPUTED_VALUE"""),0)</f>
        <v>0</v>
      </c>
      <c r="L8" s="23">
        <f ca="1">IFERROR(__xludf.DUMMYFUNCTION("""COMPUTED_VALUE"""),0)</f>
        <v>0</v>
      </c>
      <c r="M8" s="23">
        <f ca="1">IFERROR(__xludf.DUMMYFUNCTION("""COMPUTED_VALUE"""),0)</f>
        <v>0</v>
      </c>
      <c r="N8" s="23">
        <f ca="1">IFERROR(__xludf.DUMMYFUNCTION("""COMPUTED_VALUE"""),0)</f>
        <v>0</v>
      </c>
      <c r="O8" s="23">
        <f ca="1">IFERROR(__xludf.DUMMYFUNCTION("""COMPUTED_VALUE"""),0)</f>
        <v>0</v>
      </c>
      <c r="P8" s="23">
        <f ca="1">IFERROR(__xludf.DUMMYFUNCTION("""COMPUTED_VALUE"""),0)</f>
        <v>0</v>
      </c>
      <c r="Q8" s="23">
        <f ca="1">IFERROR(__xludf.DUMMYFUNCTION("""COMPUTED_VALUE"""),0)</f>
        <v>0</v>
      </c>
      <c r="R8" s="23">
        <f ca="1">IFERROR(__xludf.DUMMYFUNCTION("""COMPUTED_VALUE"""),0)</f>
        <v>0</v>
      </c>
      <c r="S8" s="23">
        <f ca="1">IFERROR(__xludf.DUMMYFUNCTION("""COMPUTED_VALUE"""),0)</f>
        <v>0</v>
      </c>
    </row>
    <row r="9" spans="1:19">
      <c r="A9" s="23" t="str">
        <f ca="1">IFERROR(__xludf.DUMMYFUNCTION("""COMPUTED_VALUE"""),"AVANCE PRESUPUESTAL")</f>
        <v>AVANCE PRESUPUESTAL</v>
      </c>
      <c r="B9" s="23">
        <f ca="1">IFERROR(__xludf.DUMMYFUNCTION("""COMPUTED_VALUE"""),1)</f>
        <v>1</v>
      </c>
      <c r="C9" s="23" t="str">
        <f ca="1">IFERROR(__xludf.DUMMYFUNCTION("""COMPUTED_VALUE"""),"AVANCE")</f>
        <v>AVANCE</v>
      </c>
      <c r="D9" s="23" t="str">
        <f ca="1">IFERROR(__xludf.DUMMYFUNCTION("""COMPUTED_VALUE"""),"ASCENDENTE")</f>
        <v>ASCENDENTE</v>
      </c>
      <c r="E9" s="23" t="str">
        <f ca="1">IFERROR(__xludf.DUMMYFUNCTION("""COMPUTED_VALUE"""),"BITACORA OPERATIVA")</f>
        <v>BITACORA OPERATIVA</v>
      </c>
      <c r="F9" s="23">
        <f ca="1">IFERROR(__xludf.DUMMYFUNCTION("""COMPUTED_VALUE"""),0)</f>
        <v>0</v>
      </c>
      <c r="G9" s="23">
        <f ca="1">IFERROR(__xludf.DUMMYFUNCTION("""COMPUTED_VALUE"""),0)</f>
        <v>0</v>
      </c>
      <c r="H9" s="23">
        <f ca="1">IFERROR(__xludf.DUMMYFUNCTION("""COMPUTED_VALUE"""),0)</f>
        <v>0</v>
      </c>
      <c r="I9" s="23">
        <f ca="1">IFERROR(__xludf.DUMMYFUNCTION("""COMPUTED_VALUE"""),0)</f>
        <v>0</v>
      </c>
      <c r="J9" s="23">
        <f ca="1">IFERROR(__xludf.DUMMYFUNCTION("""COMPUTED_VALUE"""),0)</f>
        <v>0</v>
      </c>
      <c r="K9" s="23">
        <f ca="1">IFERROR(__xludf.DUMMYFUNCTION("""COMPUTED_VALUE"""),0)</f>
        <v>0</v>
      </c>
      <c r="L9" s="23">
        <f ca="1">IFERROR(__xludf.DUMMYFUNCTION("""COMPUTED_VALUE"""),0)</f>
        <v>0</v>
      </c>
      <c r="M9" s="23">
        <f ca="1">IFERROR(__xludf.DUMMYFUNCTION("""COMPUTED_VALUE"""),0)</f>
        <v>0</v>
      </c>
      <c r="N9" s="23">
        <f ca="1">IFERROR(__xludf.DUMMYFUNCTION("""COMPUTED_VALUE"""),0)</f>
        <v>0</v>
      </c>
      <c r="O9" s="23">
        <f ca="1">IFERROR(__xludf.DUMMYFUNCTION("""COMPUTED_VALUE"""),0)</f>
        <v>0</v>
      </c>
      <c r="P9" s="23">
        <f ca="1">IFERROR(__xludf.DUMMYFUNCTION("""COMPUTED_VALUE"""),0)</f>
        <v>0</v>
      </c>
      <c r="Q9" s="23">
        <f ca="1">IFERROR(__xludf.DUMMYFUNCTION("""COMPUTED_VALUE"""),0)</f>
        <v>0</v>
      </c>
      <c r="R9" s="23">
        <f ca="1">IFERROR(__xludf.DUMMYFUNCTION("""COMPUTED_VALUE"""),0)</f>
        <v>0</v>
      </c>
      <c r="S9" s="23">
        <f ca="1">IFERROR(__xludf.DUMMYFUNCTION("""COMPUTED_VALUE"""),0)</f>
        <v>0</v>
      </c>
    </row>
    <row r="10" spans="1:19">
      <c r="A10" s="23" t="str">
        <f ca="1">IFERROR(__xludf.DUMMYFUNCTION("""COMPUTED_VALUE"""),"AVANCE RECAUDATORIO")</f>
        <v>AVANCE RECAUDATORIO</v>
      </c>
      <c r="B10" s="23">
        <f ca="1">IFERROR(__xludf.DUMMYFUNCTION("""COMPUTED_VALUE"""),1)</f>
        <v>1</v>
      </c>
      <c r="C10" s="23" t="str">
        <f ca="1">IFERROR(__xludf.DUMMYFUNCTION("""COMPUTED_VALUE"""),"AVANCE")</f>
        <v>AVANCE</v>
      </c>
      <c r="D10" s="23" t="str">
        <f ca="1">IFERROR(__xludf.DUMMYFUNCTION("""COMPUTED_VALUE"""),"ASCENDENTE")</f>
        <v>ASCENDENTE</v>
      </c>
      <c r="E10" s="23" t="str">
        <f ca="1">IFERROR(__xludf.DUMMYFUNCTION("""COMPUTED_VALUE"""),"BITACORA OPERATIVA")</f>
        <v>BITACORA OPERATIVA</v>
      </c>
      <c r="F10" s="23">
        <f ca="1">IFERROR(__xludf.DUMMYFUNCTION("""COMPUTED_VALUE"""),0)</f>
        <v>0</v>
      </c>
      <c r="G10" s="23">
        <f ca="1">IFERROR(__xludf.DUMMYFUNCTION("""COMPUTED_VALUE"""),0)</f>
        <v>0</v>
      </c>
      <c r="H10" s="23">
        <f ca="1">IFERROR(__xludf.DUMMYFUNCTION("""COMPUTED_VALUE"""),0)</f>
        <v>0</v>
      </c>
      <c r="I10" s="23">
        <f ca="1">IFERROR(__xludf.DUMMYFUNCTION("""COMPUTED_VALUE"""),0)</f>
        <v>0</v>
      </c>
      <c r="J10" s="23">
        <f ca="1">IFERROR(__xludf.DUMMYFUNCTION("""COMPUTED_VALUE"""),0)</f>
        <v>0</v>
      </c>
      <c r="K10" s="23">
        <f ca="1">IFERROR(__xludf.DUMMYFUNCTION("""COMPUTED_VALUE"""),0)</f>
        <v>0</v>
      </c>
      <c r="L10" s="23">
        <f ca="1">IFERROR(__xludf.DUMMYFUNCTION("""COMPUTED_VALUE"""),0)</f>
        <v>0</v>
      </c>
      <c r="M10" s="23">
        <f ca="1">IFERROR(__xludf.DUMMYFUNCTION("""COMPUTED_VALUE"""),0)</f>
        <v>0</v>
      </c>
      <c r="N10" s="23">
        <f ca="1">IFERROR(__xludf.DUMMYFUNCTION("""COMPUTED_VALUE"""),0)</f>
        <v>0</v>
      </c>
      <c r="O10" s="23">
        <f ca="1">IFERROR(__xludf.DUMMYFUNCTION("""COMPUTED_VALUE"""),0)</f>
        <v>0</v>
      </c>
      <c r="P10" s="23">
        <f ca="1">IFERROR(__xludf.DUMMYFUNCTION("""COMPUTED_VALUE"""),0)</f>
        <v>0</v>
      </c>
      <c r="Q10" s="23">
        <f ca="1">IFERROR(__xludf.DUMMYFUNCTION("""COMPUTED_VALUE"""),0)</f>
        <v>0</v>
      </c>
      <c r="R10" s="23">
        <f ca="1">IFERROR(__xludf.DUMMYFUNCTION("""COMPUTED_VALUE"""),0)</f>
        <v>0</v>
      </c>
      <c r="S10" s="23">
        <f ca="1">IFERROR(__xludf.DUMMYFUNCTION("""COMPUTED_VALUE"""),0)</f>
        <v>0</v>
      </c>
    </row>
    <row r="11" spans="1:19">
      <c r="A11" s="23" t="str">
        <f ca="1">IFERROR(__xludf.DUMMYFUNCTION("""COMPUTED_VALUE"""),"ATENCION A AUDITORIAS FEDERALES")</f>
        <v>ATENCION A AUDITORIAS FEDERALES</v>
      </c>
      <c r="B11" s="23">
        <f ca="1">IFERROR(__xludf.DUMMYFUNCTION("""COMPUTED_VALUE"""),1)</f>
        <v>1</v>
      </c>
      <c r="C11" s="23" t="str">
        <f ca="1">IFERROR(__xludf.DUMMYFUNCTION("""COMPUTED_VALUE"""),"AUDITORIAS FEDERALES")</f>
        <v>AUDITORIAS FEDERALES</v>
      </c>
      <c r="D11" s="23" t="str">
        <f ca="1">IFERROR(__xludf.DUMMYFUNCTION("""COMPUTED_VALUE"""),"ASCENDENTE")</f>
        <v>ASCENDENTE</v>
      </c>
      <c r="E11" s="23" t="str">
        <f ca="1">IFERROR(__xludf.DUMMYFUNCTION("""COMPUTED_VALUE"""),"BITACORA OPERATIVA")</f>
        <v>BITACORA OPERATIVA</v>
      </c>
      <c r="F11" s="23">
        <f ca="1">IFERROR(__xludf.DUMMYFUNCTION("""COMPUTED_VALUE"""),0)</f>
        <v>0</v>
      </c>
      <c r="G11" s="23">
        <f ca="1">IFERROR(__xludf.DUMMYFUNCTION("""COMPUTED_VALUE"""),0)</f>
        <v>0</v>
      </c>
      <c r="H11" s="23">
        <f ca="1">IFERROR(__xludf.DUMMYFUNCTION("""COMPUTED_VALUE"""),0)</f>
        <v>0</v>
      </c>
      <c r="I11" s="23">
        <f ca="1">IFERROR(__xludf.DUMMYFUNCTION("""COMPUTED_VALUE"""),0)</f>
        <v>0</v>
      </c>
      <c r="J11" s="23">
        <f ca="1">IFERROR(__xludf.DUMMYFUNCTION("""COMPUTED_VALUE"""),0)</f>
        <v>0</v>
      </c>
      <c r="K11" s="23">
        <f ca="1">IFERROR(__xludf.DUMMYFUNCTION("""COMPUTED_VALUE"""),0)</f>
        <v>0</v>
      </c>
      <c r="L11" s="23">
        <f ca="1">IFERROR(__xludf.DUMMYFUNCTION("""COMPUTED_VALUE"""),0)</f>
        <v>0</v>
      </c>
      <c r="M11" s="23">
        <f ca="1">IFERROR(__xludf.DUMMYFUNCTION("""COMPUTED_VALUE"""),0)</f>
        <v>0</v>
      </c>
      <c r="N11" s="23">
        <f ca="1">IFERROR(__xludf.DUMMYFUNCTION("""COMPUTED_VALUE"""),0)</f>
        <v>0</v>
      </c>
      <c r="O11" s="23">
        <f ca="1">IFERROR(__xludf.DUMMYFUNCTION("""COMPUTED_VALUE"""),0)</f>
        <v>0</v>
      </c>
      <c r="P11" s="23">
        <f ca="1">IFERROR(__xludf.DUMMYFUNCTION("""COMPUTED_VALUE"""),0)</f>
        <v>0</v>
      </c>
      <c r="Q11" s="23">
        <f ca="1">IFERROR(__xludf.DUMMYFUNCTION("""COMPUTED_VALUE"""),0)</f>
        <v>0</v>
      </c>
      <c r="R11" s="23">
        <f ca="1">IFERROR(__xludf.DUMMYFUNCTION("""COMPUTED_VALUE"""),0)</f>
        <v>0</v>
      </c>
      <c r="S11" s="23">
        <f ca="1">IFERROR(__xludf.DUMMYFUNCTION("""COMPUTED_VALUE"""),0)</f>
        <v>0</v>
      </c>
    </row>
    <row r="12" spans="1:19">
      <c r="A12" s="23" t="str">
        <f ca="1">IFERROR(__xludf.DUMMYFUNCTION("""COMPUTED_VALUE"""),"NOTIFICACIONES AGUA")</f>
        <v>NOTIFICACIONES AGUA</v>
      </c>
      <c r="B12" s="23">
        <f ca="1">IFERROR(__xludf.DUMMYFUNCTION("""COMPUTED_VALUE"""),1)</f>
        <v>1</v>
      </c>
      <c r="C12" s="23" t="str">
        <f ca="1">IFERROR(__xludf.DUMMYFUNCTION("""COMPUTED_VALUE"""),"NOTIFICACIONES")</f>
        <v>NOTIFICACIONES</v>
      </c>
      <c r="D12" s="23" t="str">
        <f ca="1">IFERROR(__xludf.DUMMYFUNCTION("""COMPUTED_VALUE"""),"ASCENDENTE")</f>
        <v>ASCENDENTE</v>
      </c>
      <c r="E12" s="23" t="str">
        <f ca="1">IFERROR(__xludf.DUMMYFUNCTION("""COMPUTED_VALUE"""),"BITACORA OPERATIVA")</f>
        <v>BITACORA OPERATIVA</v>
      </c>
      <c r="F12" s="23">
        <f ca="1">IFERROR(__xludf.DUMMYFUNCTION("""COMPUTED_VALUE"""),0)</f>
        <v>0</v>
      </c>
      <c r="G12" s="23">
        <f ca="1">IFERROR(__xludf.DUMMYFUNCTION("""COMPUTED_VALUE"""),0)</f>
        <v>0</v>
      </c>
      <c r="H12" s="23">
        <f ca="1">IFERROR(__xludf.DUMMYFUNCTION("""COMPUTED_VALUE"""),0)</f>
        <v>0</v>
      </c>
      <c r="I12" s="23">
        <f ca="1">IFERROR(__xludf.DUMMYFUNCTION("""COMPUTED_VALUE"""),0)</f>
        <v>0</v>
      </c>
      <c r="J12" s="23">
        <f ca="1">IFERROR(__xludf.DUMMYFUNCTION("""COMPUTED_VALUE"""),0)</f>
        <v>0</v>
      </c>
      <c r="K12" s="23">
        <f ca="1">IFERROR(__xludf.DUMMYFUNCTION("""COMPUTED_VALUE"""),0)</f>
        <v>0</v>
      </c>
      <c r="L12" s="23">
        <f ca="1">IFERROR(__xludf.DUMMYFUNCTION("""COMPUTED_VALUE"""),0)</f>
        <v>0</v>
      </c>
      <c r="M12" s="23">
        <f ca="1">IFERROR(__xludf.DUMMYFUNCTION("""COMPUTED_VALUE"""),0)</f>
        <v>0</v>
      </c>
      <c r="N12" s="23">
        <f ca="1">IFERROR(__xludf.DUMMYFUNCTION("""COMPUTED_VALUE"""),0)</f>
        <v>0</v>
      </c>
      <c r="O12" s="23">
        <f ca="1">IFERROR(__xludf.DUMMYFUNCTION("""COMPUTED_VALUE"""),0)</f>
        <v>0</v>
      </c>
      <c r="P12" s="23">
        <f ca="1">IFERROR(__xludf.DUMMYFUNCTION("""COMPUTED_VALUE"""),0)</f>
        <v>0</v>
      </c>
      <c r="Q12" s="23">
        <f ca="1">IFERROR(__xludf.DUMMYFUNCTION("""COMPUTED_VALUE"""),0)</f>
        <v>0</v>
      </c>
      <c r="R12" s="23">
        <f ca="1">IFERROR(__xludf.DUMMYFUNCTION("""COMPUTED_VALUE"""),0)</f>
        <v>0</v>
      </c>
      <c r="S12" s="23">
        <f ca="1">IFERROR(__xludf.DUMMYFUNCTION("""COMPUTED_VALUE"""),0)</f>
        <v>0</v>
      </c>
    </row>
    <row r="13" spans="1:19">
      <c r="A13" s="23" t="str">
        <f ca="1">IFERROR(__xludf.DUMMYFUNCTION("""COMPUTED_VALUE"""),"NOTIFICACIONES PREDIAL")</f>
        <v>NOTIFICACIONES PREDIAL</v>
      </c>
      <c r="B13" s="23">
        <f ca="1">IFERROR(__xludf.DUMMYFUNCTION("""COMPUTED_VALUE"""),1)</f>
        <v>1</v>
      </c>
      <c r="C13" s="23" t="str">
        <f ca="1">IFERROR(__xludf.DUMMYFUNCTION("""COMPUTED_VALUE"""),"NOTIFICACIONES")</f>
        <v>NOTIFICACIONES</v>
      </c>
      <c r="D13" s="23" t="str">
        <f ca="1">IFERROR(__xludf.DUMMYFUNCTION("""COMPUTED_VALUE"""),"ASCENDENTE")</f>
        <v>ASCENDENTE</v>
      </c>
      <c r="E13" s="23" t="str">
        <f ca="1">IFERROR(__xludf.DUMMYFUNCTION("""COMPUTED_VALUE"""),"BITACORA OPERATIVA")</f>
        <v>BITACORA OPERATIVA</v>
      </c>
      <c r="F13" s="23">
        <f ca="1">IFERROR(__xludf.DUMMYFUNCTION("""COMPUTED_VALUE"""),0)</f>
        <v>0</v>
      </c>
      <c r="G13" s="23">
        <f ca="1">IFERROR(__xludf.DUMMYFUNCTION("""COMPUTED_VALUE"""),0)</f>
        <v>0</v>
      </c>
      <c r="H13" s="23">
        <f ca="1">IFERROR(__xludf.DUMMYFUNCTION("""COMPUTED_VALUE"""),0)</f>
        <v>0</v>
      </c>
      <c r="I13" s="23">
        <f ca="1">IFERROR(__xludf.DUMMYFUNCTION("""COMPUTED_VALUE"""),0)</f>
        <v>0</v>
      </c>
      <c r="J13" s="23">
        <f ca="1">IFERROR(__xludf.DUMMYFUNCTION("""COMPUTED_VALUE"""),0)</f>
        <v>0</v>
      </c>
      <c r="K13" s="23">
        <f ca="1">IFERROR(__xludf.DUMMYFUNCTION("""COMPUTED_VALUE"""),0)</f>
        <v>0</v>
      </c>
      <c r="L13" s="23">
        <f ca="1">IFERROR(__xludf.DUMMYFUNCTION("""COMPUTED_VALUE"""),0)</f>
        <v>0</v>
      </c>
      <c r="M13" s="23">
        <f ca="1">IFERROR(__xludf.DUMMYFUNCTION("""COMPUTED_VALUE"""),0)</f>
        <v>0</v>
      </c>
      <c r="N13" s="23">
        <f ca="1">IFERROR(__xludf.DUMMYFUNCTION("""COMPUTED_VALUE"""),0)</f>
        <v>0</v>
      </c>
      <c r="O13" s="23">
        <f ca="1">IFERROR(__xludf.DUMMYFUNCTION("""COMPUTED_VALUE"""),0)</f>
        <v>0</v>
      </c>
      <c r="P13" s="23">
        <f ca="1">IFERROR(__xludf.DUMMYFUNCTION("""COMPUTED_VALUE"""),0)</f>
        <v>0</v>
      </c>
      <c r="Q13" s="23">
        <f ca="1">IFERROR(__xludf.DUMMYFUNCTION("""COMPUTED_VALUE"""),0)</f>
        <v>0</v>
      </c>
      <c r="R13" s="23">
        <f ca="1">IFERROR(__xludf.DUMMYFUNCTION("""COMPUTED_VALUE"""),0)</f>
        <v>0</v>
      </c>
      <c r="S13" s="23">
        <f ca="1">IFERROR(__xludf.DUMMYFUNCTION("""COMPUTED_VALUE"""),0)</f>
        <v>0</v>
      </c>
    </row>
    <row r="14" spans="1:19">
      <c r="A14" s="23" t="str">
        <f ca="1">IFERROR(__xludf.DUMMYFUNCTION("""COMPUTED_VALUE"""),"DETECCION TOMAS CLANDESTINAS")</f>
        <v>DETECCION TOMAS CLANDESTINAS</v>
      </c>
      <c r="B14" s="23">
        <f ca="1">IFERROR(__xludf.DUMMYFUNCTION("""COMPUTED_VALUE"""),1)</f>
        <v>1</v>
      </c>
      <c r="C14" s="23" t="str">
        <f ca="1">IFERROR(__xludf.DUMMYFUNCTION("""COMPUTED_VALUE"""),"TOMAS CLANDESTINAS ")</f>
        <v xml:space="preserve">TOMAS CLANDESTINAS </v>
      </c>
      <c r="D14" s="23" t="str">
        <f ca="1">IFERROR(__xludf.DUMMYFUNCTION("""COMPUTED_VALUE"""),"ASCENDENTE")</f>
        <v>ASCENDENTE</v>
      </c>
      <c r="E14" s="23" t="str">
        <f ca="1">IFERROR(__xludf.DUMMYFUNCTION("""COMPUTED_VALUE"""),"BITACORA OPERATIVA")</f>
        <v>BITACORA OPERATIVA</v>
      </c>
      <c r="F14" s="23">
        <f ca="1">IFERROR(__xludf.DUMMYFUNCTION("""COMPUTED_VALUE"""),0)</f>
        <v>0</v>
      </c>
      <c r="G14" s="23">
        <f ca="1">IFERROR(__xludf.DUMMYFUNCTION("""COMPUTED_VALUE"""),0)</f>
        <v>0</v>
      </c>
      <c r="H14" s="23">
        <f ca="1">IFERROR(__xludf.DUMMYFUNCTION("""COMPUTED_VALUE"""),0)</f>
        <v>0</v>
      </c>
      <c r="I14" s="23">
        <f ca="1">IFERROR(__xludf.DUMMYFUNCTION("""COMPUTED_VALUE"""),0)</f>
        <v>0</v>
      </c>
      <c r="J14" s="23">
        <f ca="1">IFERROR(__xludf.DUMMYFUNCTION("""COMPUTED_VALUE"""),0)</f>
        <v>0</v>
      </c>
      <c r="K14" s="23">
        <f ca="1">IFERROR(__xludf.DUMMYFUNCTION("""COMPUTED_VALUE"""),0)</f>
        <v>0</v>
      </c>
      <c r="L14" s="23">
        <f ca="1">IFERROR(__xludf.DUMMYFUNCTION("""COMPUTED_VALUE"""),0)</f>
        <v>0</v>
      </c>
      <c r="M14" s="23">
        <f ca="1">IFERROR(__xludf.DUMMYFUNCTION("""COMPUTED_VALUE"""),0)</f>
        <v>0</v>
      </c>
      <c r="N14" s="23">
        <f ca="1">IFERROR(__xludf.DUMMYFUNCTION("""COMPUTED_VALUE"""),0)</f>
        <v>0</v>
      </c>
      <c r="O14" s="23">
        <f ca="1">IFERROR(__xludf.DUMMYFUNCTION("""COMPUTED_VALUE"""),0)</f>
        <v>0</v>
      </c>
      <c r="P14" s="23">
        <f ca="1">IFERROR(__xludf.DUMMYFUNCTION("""COMPUTED_VALUE"""),0)</f>
        <v>0</v>
      </c>
      <c r="Q14" s="23">
        <f ca="1">IFERROR(__xludf.DUMMYFUNCTION("""COMPUTED_VALUE"""),0)</f>
        <v>0</v>
      </c>
      <c r="R14" s="23">
        <f ca="1">IFERROR(__xludf.DUMMYFUNCTION("""COMPUTED_VALUE"""),0)</f>
        <v>0</v>
      </c>
      <c r="S14" s="23">
        <f ca="1">IFERROR(__xludf.DUMMYFUNCTION("""COMPUTED_VALUE"""),0)</f>
        <v>0</v>
      </c>
    </row>
    <row r="15" spans="1:19">
      <c r="A15" s="23" t="str">
        <f ca="1">IFERROR(__xludf.DUMMYFUNCTION("""COMPUTED_VALUE"""),"INVITACIONES DE PAGO")</f>
        <v>INVITACIONES DE PAGO</v>
      </c>
      <c r="B15" s="23">
        <f ca="1">IFERROR(__xludf.DUMMYFUNCTION("""COMPUTED_VALUE"""),1)</f>
        <v>1</v>
      </c>
      <c r="C15" s="23" t="str">
        <f ca="1">IFERROR(__xludf.DUMMYFUNCTION("""COMPUTED_VALUE"""),"INVITACIONES")</f>
        <v>INVITACIONES</v>
      </c>
      <c r="D15" s="23" t="str">
        <f ca="1">IFERROR(__xludf.DUMMYFUNCTION("""COMPUTED_VALUE"""),"ASCENDENTE")</f>
        <v>ASCENDENTE</v>
      </c>
      <c r="E15" s="23" t="str">
        <f ca="1">IFERROR(__xludf.DUMMYFUNCTION("""COMPUTED_VALUE"""),"BITACORA OPERATIVA")</f>
        <v>BITACORA OPERATIVA</v>
      </c>
      <c r="F15" s="23">
        <f ca="1">IFERROR(__xludf.DUMMYFUNCTION("""COMPUTED_VALUE"""),0)</f>
        <v>0</v>
      </c>
      <c r="G15" s="23">
        <f ca="1">IFERROR(__xludf.DUMMYFUNCTION("""COMPUTED_VALUE"""),0)</f>
        <v>0</v>
      </c>
      <c r="H15" s="23">
        <f ca="1">IFERROR(__xludf.DUMMYFUNCTION("""COMPUTED_VALUE"""),0)</f>
        <v>0</v>
      </c>
      <c r="I15" s="23">
        <f ca="1">IFERROR(__xludf.DUMMYFUNCTION("""COMPUTED_VALUE"""),0)</f>
        <v>0</v>
      </c>
      <c r="J15" s="23">
        <f ca="1">IFERROR(__xludf.DUMMYFUNCTION("""COMPUTED_VALUE"""),0)</f>
        <v>0</v>
      </c>
      <c r="K15" s="23">
        <f ca="1">IFERROR(__xludf.DUMMYFUNCTION("""COMPUTED_VALUE"""),0)</f>
        <v>0</v>
      </c>
      <c r="L15" s="23">
        <f ca="1">IFERROR(__xludf.DUMMYFUNCTION("""COMPUTED_VALUE"""),0)</f>
        <v>0</v>
      </c>
      <c r="M15" s="23">
        <f ca="1">IFERROR(__xludf.DUMMYFUNCTION("""COMPUTED_VALUE"""),0)</f>
        <v>0</v>
      </c>
      <c r="N15" s="23">
        <f ca="1">IFERROR(__xludf.DUMMYFUNCTION("""COMPUTED_VALUE"""),0)</f>
        <v>0</v>
      </c>
      <c r="O15" s="23">
        <f ca="1">IFERROR(__xludf.DUMMYFUNCTION("""COMPUTED_VALUE"""),0)</f>
        <v>0</v>
      </c>
      <c r="P15" s="23">
        <f ca="1">IFERROR(__xludf.DUMMYFUNCTION("""COMPUTED_VALUE"""),0)</f>
        <v>0</v>
      </c>
      <c r="Q15" s="23">
        <f ca="1">IFERROR(__xludf.DUMMYFUNCTION("""COMPUTED_VALUE"""),0)</f>
        <v>0</v>
      </c>
      <c r="R15" s="23">
        <f ca="1">IFERROR(__xludf.DUMMYFUNCTION("""COMPUTED_VALUE"""),0)</f>
        <v>0</v>
      </c>
      <c r="S15" s="23">
        <f ca="1">IFERROR(__xludf.DUMMYFUNCTION("""COMPUTED_VALUE"""),0)</f>
        <v>0</v>
      </c>
    </row>
    <row r="16" spans="1:19">
      <c r="A16" s="23" t="str">
        <f ca="1">IFERROR(__xludf.DUMMYFUNCTION("""COMPUTED_VALUE"""),"SOPORTES TECNICOS")</f>
        <v>SOPORTES TECNICOS</v>
      </c>
      <c r="B16" s="23">
        <f ca="1">IFERROR(__xludf.DUMMYFUNCTION("""COMPUTED_VALUE"""),1)</f>
        <v>1</v>
      </c>
      <c r="C16" s="23" t="str">
        <f ca="1">IFERROR(__xludf.DUMMYFUNCTION("""COMPUTED_VALUE"""),"SOPORTES")</f>
        <v>SOPORTES</v>
      </c>
      <c r="D16" s="23" t="str">
        <f ca="1">IFERROR(__xludf.DUMMYFUNCTION("""COMPUTED_VALUE"""),"ASCENDENTE")</f>
        <v>ASCENDENTE</v>
      </c>
      <c r="E16" s="23" t="str">
        <f ca="1">IFERROR(__xludf.DUMMYFUNCTION("""COMPUTED_VALUE"""),"BITACORA OPERATIVA")</f>
        <v>BITACORA OPERATIVA</v>
      </c>
      <c r="F16" s="23">
        <f ca="1">IFERROR(__xludf.DUMMYFUNCTION("""COMPUTED_VALUE"""),0)</f>
        <v>0</v>
      </c>
      <c r="G16" s="23">
        <f ca="1">IFERROR(__xludf.DUMMYFUNCTION("""COMPUTED_VALUE"""),0)</f>
        <v>0</v>
      </c>
      <c r="H16" s="23">
        <f ca="1">IFERROR(__xludf.DUMMYFUNCTION("""COMPUTED_VALUE"""),0)</f>
        <v>0</v>
      </c>
      <c r="I16" s="23">
        <f ca="1">IFERROR(__xludf.DUMMYFUNCTION("""COMPUTED_VALUE"""),0)</f>
        <v>0</v>
      </c>
      <c r="J16" s="23">
        <f ca="1">IFERROR(__xludf.DUMMYFUNCTION("""COMPUTED_VALUE"""),0)</f>
        <v>0</v>
      </c>
      <c r="K16" s="23">
        <f ca="1">IFERROR(__xludf.DUMMYFUNCTION("""COMPUTED_VALUE"""),0)</f>
        <v>0</v>
      </c>
      <c r="L16" s="23">
        <f ca="1">IFERROR(__xludf.DUMMYFUNCTION("""COMPUTED_VALUE"""),0)</f>
        <v>0</v>
      </c>
      <c r="M16" s="23">
        <f ca="1">IFERROR(__xludf.DUMMYFUNCTION("""COMPUTED_VALUE"""),0)</f>
        <v>0</v>
      </c>
      <c r="N16" s="23">
        <f ca="1">IFERROR(__xludf.DUMMYFUNCTION("""COMPUTED_VALUE"""),0)</f>
        <v>0</v>
      </c>
      <c r="O16" s="23">
        <f ca="1">IFERROR(__xludf.DUMMYFUNCTION("""COMPUTED_VALUE"""),0)</f>
        <v>0</v>
      </c>
      <c r="P16" s="23">
        <f ca="1">IFERROR(__xludf.DUMMYFUNCTION("""COMPUTED_VALUE"""),0)</f>
        <v>0</v>
      </c>
      <c r="Q16" s="23">
        <f ca="1">IFERROR(__xludf.DUMMYFUNCTION("""COMPUTED_VALUE"""),0)</f>
        <v>0</v>
      </c>
      <c r="R16" s="23">
        <f ca="1">IFERROR(__xludf.DUMMYFUNCTION("""COMPUTED_VALUE"""),0)</f>
        <v>0</v>
      </c>
      <c r="S16" s="23">
        <f ca="1">IFERROR(__xludf.DUMMYFUNCTION("""COMPUTED_VALUE"""),0)</f>
        <v>0</v>
      </c>
    </row>
    <row r="17" spans="1:19">
      <c r="A17" s="23" t="str">
        <f ca="1">IFERROR(__xludf.DUMMYFUNCTION("""COMPUTED_VALUE"""),"LICENCIAS NUEVAS")</f>
        <v>LICENCIAS NUEVAS</v>
      </c>
      <c r="B17" s="23">
        <f ca="1">IFERROR(__xludf.DUMMYFUNCTION("""COMPUTED_VALUE"""),1)</f>
        <v>1</v>
      </c>
      <c r="C17" s="23" t="str">
        <f ca="1">IFERROR(__xludf.DUMMYFUNCTION("""COMPUTED_VALUE"""),"NUEVAS LICENCIAS")</f>
        <v>NUEVAS LICENCIAS</v>
      </c>
      <c r="D17" s="23" t="str">
        <f ca="1">IFERROR(__xludf.DUMMYFUNCTION("""COMPUTED_VALUE"""),"ASCENDENTE")</f>
        <v>ASCENDENTE</v>
      </c>
      <c r="E17" s="23" t="str">
        <f ca="1">IFERROR(__xludf.DUMMYFUNCTION("""COMPUTED_VALUE"""),"BITACORA OPERATIVA")</f>
        <v>BITACORA OPERATIVA</v>
      </c>
      <c r="F17" s="23">
        <f ca="1">IFERROR(__xludf.DUMMYFUNCTION("""COMPUTED_VALUE"""),0)</f>
        <v>0</v>
      </c>
      <c r="G17" s="23">
        <f ca="1">IFERROR(__xludf.DUMMYFUNCTION("""COMPUTED_VALUE"""),0)</f>
        <v>0</v>
      </c>
      <c r="H17" s="23">
        <f ca="1">IFERROR(__xludf.DUMMYFUNCTION("""COMPUTED_VALUE"""),0)</f>
        <v>0</v>
      </c>
      <c r="I17" s="23">
        <f ca="1">IFERROR(__xludf.DUMMYFUNCTION("""COMPUTED_VALUE"""),0)</f>
        <v>0</v>
      </c>
      <c r="J17" s="23">
        <f ca="1">IFERROR(__xludf.DUMMYFUNCTION("""COMPUTED_VALUE"""),69)</f>
        <v>69</v>
      </c>
      <c r="K17" s="23">
        <f ca="1">IFERROR(__xludf.DUMMYFUNCTION("""COMPUTED_VALUE"""),0)</f>
        <v>0</v>
      </c>
      <c r="L17" s="23">
        <f ca="1">IFERROR(__xludf.DUMMYFUNCTION("""COMPUTED_VALUE"""),0)</f>
        <v>0</v>
      </c>
      <c r="M17" s="23">
        <f ca="1">IFERROR(__xludf.DUMMYFUNCTION("""COMPUTED_VALUE"""),0)</f>
        <v>0</v>
      </c>
      <c r="N17" s="23">
        <f ca="1">IFERROR(__xludf.DUMMYFUNCTION("""COMPUTED_VALUE"""),0)</f>
        <v>0</v>
      </c>
      <c r="O17" s="23">
        <f ca="1">IFERROR(__xludf.DUMMYFUNCTION("""COMPUTED_VALUE"""),0)</f>
        <v>0</v>
      </c>
      <c r="P17" s="23">
        <f ca="1">IFERROR(__xludf.DUMMYFUNCTION("""COMPUTED_VALUE"""),0)</f>
        <v>0</v>
      </c>
      <c r="Q17" s="23">
        <f ca="1">IFERROR(__xludf.DUMMYFUNCTION("""COMPUTED_VALUE"""),0)</f>
        <v>0</v>
      </c>
      <c r="R17" s="23">
        <f ca="1">IFERROR(__xludf.DUMMYFUNCTION("""COMPUTED_VALUE"""),0)</f>
        <v>0</v>
      </c>
      <c r="S17" s="23">
        <f ca="1">IFERROR(__xludf.DUMMYFUNCTION("""COMPUTED_VALUE"""),69)</f>
        <v>69</v>
      </c>
    </row>
    <row r="18" spans="1:19">
      <c r="A18" s="23" t="str">
        <f ca="1">IFERROR(__xludf.DUMMYFUNCTION("""COMPUTED_VALUE"""),"REFRENDOS")</f>
        <v>REFRENDOS</v>
      </c>
      <c r="B18" s="23">
        <f ca="1">IFERROR(__xludf.DUMMYFUNCTION("""COMPUTED_VALUE"""),1)</f>
        <v>1</v>
      </c>
      <c r="C18" s="23" t="str">
        <f ca="1">IFERROR(__xludf.DUMMYFUNCTION("""COMPUTED_VALUE"""),"REFRENDOS")</f>
        <v>REFRENDOS</v>
      </c>
      <c r="D18" s="23" t="str">
        <f ca="1">IFERROR(__xludf.DUMMYFUNCTION("""COMPUTED_VALUE"""),"ASCENDENTE")</f>
        <v>ASCENDENTE</v>
      </c>
      <c r="E18" s="23" t="str">
        <f ca="1">IFERROR(__xludf.DUMMYFUNCTION("""COMPUTED_VALUE"""),"BITACORA OPERATIVA")</f>
        <v>BITACORA OPERATIVA</v>
      </c>
      <c r="F18" s="23">
        <f ca="1">IFERROR(__xludf.DUMMYFUNCTION("""COMPUTED_VALUE"""),0)</f>
        <v>0</v>
      </c>
      <c r="G18" s="23">
        <f ca="1">IFERROR(__xludf.DUMMYFUNCTION("""COMPUTED_VALUE"""),0)</f>
        <v>0</v>
      </c>
      <c r="H18" s="23">
        <f ca="1">IFERROR(__xludf.DUMMYFUNCTION("""COMPUTED_VALUE"""),0)</f>
        <v>0</v>
      </c>
      <c r="I18" s="23">
        <f ca="1">IFERROR(__xludf.DUMMYFUNCTION("""COMPUTED_VALUE"""),0)</f>
        <v>0</v>
      </c>
      <c r="J18" s="23">
        <f ca="1">IFERROR(__xludf.DUMMYFUNCTION("""COMPUTED_VALUE"""),68)</f>
        <v>68</v>
      </c>
      <c r="K18" s="23">
        <f ca="1">IFERROR(__xludf.DUMMYFUNCTION("""COMPUTED_VALUE"""),0)</f>
        <v>0</v>
      </c>
      <c r="L18" s="23">
        <f ca="1">IFERROR(__xludf.DUMMYFUNCTION("""COMPUTED_VALUE"""),0)</f>
        <v>0</v>
      </c>
      <c r="M18" s="23">
        <f ca="1">IFERROR(__xludf.DUMMYFUNCTION("""COMPUTED_VALUE"""),0)</f>
        <v>0</v>
      </c>
      <c r="N18" s="23">
        <f ca="1">IFERROR(__xludf.DUMMYFUNCTION("""COMPUTED_VALUE"""),0)</f>
        <v>0</v>
      </c>
      <c r="O18" s="23">
        <f ca="1">IFERROR(__xludf.DUMMYFUNCTION("""COMPUTED_VALUE"""),0)</f>
        <v>0</v>
      </c>
      <c r="P18" s="23">
        <f ca="1">IFERROR(__xludf.DUMMYFUNCTION("""COMPUTED_VALUE"""),0)</f>
        <v>0</v>
      </c>
      <c r="Q18" s="23">
        <f ca="1">IFERROR(__xludf.DUMMYFUNCTION("""COMPUTED_VALUE"""),0)</f>
        <v>0</v>
      </c>
      <c r="R18" s="23">
        <f ca="1">IFERROR(__xludf.DUMMYFUNCTION("""COMPUTED_VALUE"""),0)</f>
        <v>0</v>
      </c>
      <c r="S18" s="23">
        <f ca="1">IFERROR(__xludf.DUMMYFUNCTION("""COMPUTED_VALUE"""),68)</f>
        <v>68</v>
      </c>
    </row>
    <row r="19" spans="1:19">
      <c r="A19" s="23" t="str">
        <f ca="1">IFERROR(__xludf.DUMMYFUNCTION("""COMPUTED_VALUE"""),"CAMBIOS DE PROPIETARIO")</f>
        <v>CAMBIOS DE PROPIETARIO</v>
      </c>
      <c r="B19" s="23">
        <f ca="1">IFERROR(__xludf.DUMMYFUNCTION("""COMPUTED_VALUE"""),1)</f>
        <v>1</v>
      </c>
      <c r="C19" s="23" t="str">
        <f ca="1">IFERROR(__xludf.DUMMYFUNCTION("""COMPUTED_VALUE"""),"CAMBIOS")</f>
        <v>CAMBIOS</v>
      </c>
      <c r="D19" s="23" t="str">
        <f ca="1">IFERROR(__xludf.DUMMYFUNCTION("""COMPUTED_VALUE"""),"ASCENDENTE")</f>
        <v>ASCENDENTE</v>
      </c>
      <c r="E19" s="23" t="str">
        <f ca="1">IFERROR(__xludf.DUMMYFUNCTION("""COMPUTED_VALUE"""),"BITACORA OPERATIVA")</f>
        <v>BITACORA OPERATIVA</v>
      </c>
      <c r="F19" s="23">
        <f ca="1">IFERROR(__xludf.DUMMYFUNCTION("""COMPUTED_VALUE"""),0)</f>
        <v>0</v>
      </c>
      <c r="G19" s="23">
        <f ca="1">IFERROR(__xludf.DUMMYFUNCTION("""COMPUTED_VALUE"""),0)</f>
        <v>0</v>
      </c>
      <c r="H19" s="23">
        <f ca="1">IFERROR(__xludf.DUMMYFUNCTION("""COMPUTED_VALUE"""),0)</f>
        <v>0</v>
      </c>
      <c r="I19" s="23">
        <f ca="1">IFERROR(__xludf.DUMMYFUNCTION("""COMPUTED_VALUE"""),0)</f>
        <v>0</v>
      </c>
      <c r="J19" s="23">
        <f ca="1">IFERROR(__xludf.DUMMYFUNCTION("""COMPUTED_VALUE"""),58)</f>
        <v>58</v>
      </c>
      <c r="K19" s="23">
        <f ca="1">IFERROR(__xludf.DUMMYFUNCTION("""COMPUTED_VALUE"""),0)</f>
        <v>0</v>
      </c>
      <c r="L19" s="23">
        <f ca="1">IFERROR(__xludf.DUMMYFUNCTION("""COMPUTED_VALUE"""),0)</f>
        <v>0</v>
      </c>
      <c r="M19" s="23">
        <f ca="1">IFERROR(__xludf.DUMMYFUNCTION("""COMPUTED_VALUE"""),0)</f>
        <v>0</v>
      </c>
      <c r="N19" s="23">
        <f ca="1">IFERROR(__xludf.DUMMYFUNCTION("""COMPUTED_VALUE"""),0)</f>
        <v>0</v>
      </c>
      <c r="O19" s="23">
        <f ca="1">IFERROR(__xludf.DUMMYFUNCTION("""COMPUTED_VALUE"""),0)</f>
        <v>0</v>
      </c>
      <c r="P19" s="23">
        <f ca="1">IFERROR(__xludf.DUMMYFUNCTION("""COMPUTED_VALUE"""),0)</f>
        <v>0</v>
      </c>
      <c r="Q19" s="23">
        <f ca="1">IFERROR(__xludf.DUMMYFUNCTION("""COMPUTED_VALUE"""),0)</f>
        <v>0</v>
      </c>
      <c r="R19" s="23">
        <f ca="1">IFERROR(__xludf.DUMMYFUNCTION("""COMPUTED_VALUE"""),0)</f>
        <v>0</v>
      </c>
      <c r="S19" s="23">
        <f ca="1">IFERROR(__xludf.DUMMYFUNCTION("""COMPUTED_VALUE"""),58)</f>
        <v>58</v>
      </c>
    </row>
    <row r="20" spans="1:19">
      <c r="A20" s="23" t="str">
        <f ca="1">IFERROR(__xludf.DUMMYFUNCTION("""COMPUTED_VALUE"""),"CAMBIOS DE DOMICILIO")</f>
        <v>CAMBIOS DE DOMICILIO</v>
      </c>
      <c r="B20" s="23">
        <f ca="1">IFERROR(__xludf.DUMMYFUNCTION("""COMPUTED_VALUE"""),1)</f>
        <v>1</v>
      </c>
      <c r="C20" s="23" t="str">
        <f ca="1">IFERROR(__xludf.DUMMYFUNCTION("""COMPUTED_VALUE"""),"CAMBIOS")</f>
        <v>CAMBIOS</v>
      </c>
      <c r="D20" s="23" t="str">
        <f ca="1">IFERROR(__xludf.DUMMYFUNCTION("""COMPUTED_VALUE"""),"ASCENDENTE")</f>
        <v>ASCENDENTE</v>
      </c>
      <c r="E20" s="23" t="str">
        <f ca="1">IFERROR(__xludf.DUMMYFUNCTION("""COMPUTED_VALUE"""),"BITACORA OPERATIVA")</f>
        <v>BITACORA OPERATIVA</v>
      </c>
      <c r="F20" s="23">
        <f ca="1">IFERROR(__xludf.DUMMYFUNCTION("""COMPUTED_VALUE"""),0)</f>
        <v>0</v>
      </c>
      <c r="G20" s="23">
        <f ca="1">IFERROR(__xludf.DUMMYFUNCTION("""COMPUTED_VALUE"""),0)</f>
        <v>0</v>
      </c>
      <c r="H20" s="23">
        <f ca="1">IFERROR(__xludf.DUMMYFUNCTION("""COMPUTED_VALUE"""),0)</f>
        <v>0</v>
      </c>
      <c r="I20" s="23">
        <f ca="1">IFERROR(__xludf.DUMMYFUNCTION("""COMPUTED_VALUE"""),0)</f>
        <v>0</v>
      </c>
      <c r="J20" s="23">
        <f ca="1">IFERROR(__xludf.DUMMYFUNCTION("""COMPUTED_VALUE"""),58)</f>
        <v>58</v>
      </c>
      <c r="K20" s="23">
        <f ca="1">IFERROR(__xludf.DUMMYFUNCTION("""COMPUTED_VALUE"""),0)</f>
        <v>0</v>
      </c>
      <c r="L20" s="23">
        <f ca="1">IFERROR(__xludf.DUMMYFUNCTION("""COMPUTED_VALUE"""),0)</f>
        <v>0</v>
      </c>
      <c r="M20" s="23">
        <f ca="1">IFERROR(__xludf.DUMMYFUNCTION("""COMPUTED_VALUE"""),0)</f>
        <v>0</v>
      </c>
      <c r="N20" s="23">
        <f ca="1">IFERROR(__xludf.DUMMYFUNCTION("""COMPUTED_VALUE"""),0)</f>
        <v>0</v>
      </c>
      <c r="O20" s="23">
        <f ca="1">IFERROR(__xludf.DUMMYFUNCTION("""COMPUTED_VALUE"""),0)</f>
        <v>0</v>
      </c>
      <c r="P20" s="23">
        <f ca="1">IFERROR(__xludf.DUMMYFUNCTION("""COMPUTED_VALUE"""),0)</f>
        <v>0</v>
      </c>
      <c r="Q20" s="23">
        <f ca="1">IFERROR(__xludf.DUMMYFUNCTION("""COMPUTED_VALUE"""),0)</f>
        <v>0</v>
      </c>
      <c r="R20" s="23">
        <f ca="1">IFERROR(__xludf.DUMMYFUNCTION("""COMPUTED_VALUE"""),0)</f>
        <v>0</v>
      </c>
      <c r="S20" s="23">
        <f ca="1">IFERROR(__xludf.DUMMYFUNCTION("""COMPUTED_VALUE"""),58)</f>
        <v>58</v>
      </c>
    </row>
    <row r="21" spans="1:19">
      <c r="A21" s="23" t="str">
        <f ca="1">IFERROR(__xludf.DUMMYFUNCTION("""COMPUTED_VALUE"""),"LICENCIAS NUEVAS GIRO RESTRINGIDO")</f>
        <v>LICENCIAS NUEVAS GIRO RESTRINGIDO</v>
      </c>
      <c r="B21" s="23">
        <f ca="1">IFERROR(__xludf.DUMMYFUNCTION("""COMPUTED_VALUE"""),1)</f>
        <v>1</v>
      </c>
      <c r="C21" s="23" t="str">
        <f ca="1">IFERROR(__xludf.DUMMYFUNCTION("""COMPUTED_VALUE"""),"NUEVAS LICENCIAS")</f>
        <v>NUEVAS LICENCIAS</v>
      </c>
      <c r="D21" s="23" t="str">
        <f ca="1">IFERROR(__xludf.DUMMYFUNCTION("""COMPUTED_VALUE"""),"ASCENDENTE")</f>
        <v>ASCENDENTE</v>
      </c>
      <c r="E21" s="23" t="str">
        <f ca="1">IFERROR(__xludf.DUMMYFUNCTION("""COMPUTED_VALUE"""),"BITACORA OPERATIVA")</f>
        <v>BITACORA OPERATIVA</v>
      </c>
      <c r="F21" s="23">
        <f ca="1">IFERROR(__xludf.DUMMYFUNCTION("""COMPUTED_VALUE"""),0)</f>
        <v>0</v>
      </c>
      <c r="G21" s="23">
        <f ca="1">IFERROR(__xludf.DUMMYFUNCTION("""COMPUTED_VALUE"""),0)</f>
        <v>0</v>
      </c>
      <c r="H21" s="23">
        <f ca="1">IFERROR(__xludf.DUMMYFUNCTION("""COMPUTED_VALUE"""),0)</f>
        <v>0</v>
      </c>
      <c r="I21" s="23">
        <f ca="1">IFERROR(__xludf.DUMMYFUNCTION("""COMPUTED_VALUE"""),0)</f>
        <v>0</v>
      </c>
      <c r="J21" s="23">
        <f ca="1">IFERROR(__xludf.DUMMYFUNCTION("""COMPUTED_VALUE"""),0)</f>
        <v>0</v>
      </c>
      <c r="K21" s="23">
        <f ca="1">IFERROR(__xludf.DUMMYFUNCTION("""COMPUTED_VALUE"""),0)</f>
        <v>0</v>
      </c>
      <c r="L21" s="23">
        <f ca="1">IFERROR(__xludf.DUMMYFUNCTION("""COMPUTED_VALUE"""),0)</f>
        <v>0</v>
      </c>
      <c r="M21" s="23">
        <f ca="1">IFERROR(__xludf.DUMMYFUNCTION("""COMPUTED_VALUE"""),0)</f>
        <v>0</v>
      </c>
      <c r="N21" s="23">
        <f ca="1">IFERROR(__xludf.DUMMYFUNCTION("""COMPUTED_VALUE"""),0)</f>
        <v>0</v>
      </c>
      <c r="O21" s="23">
        <f ca="1">IFERROR(__xludf.DUMMYFUNCTION("""COMPUTED_VALUE"""),0)</f>
        <v>0</v>
      </c>
      <c r="P21" s="23">
        <f ca="1">IFERROR(__xludf.DUMMYFUNCTION("""COMPUTED_VALUE"""),0)</f>
        <v>0</v>
      </c>
      <c r="Q21" s="23">
        <f ca="1">IFERROR(__xludf.DUMMYFUNCTION("""COMPUTED_VALUE"""),0)</f>
        <v>0</v>
      </c>
      <c r="R21" s="23">
        <f ca="1">IFERROR(__xludf.DUMMYFUNCTION("""COMPUTED_VALUE"""),0)</f>
        <v>0</v>
      </c>
      <c r="S21" s="23">
        <f ca="1">IFERROR(__xludf.DUMMYFUNCTION("""COMPUTED_VALUE"""),0)</f>
        <v>0</v>
      </c>
    </row>
    <row r="22" spans="1:19">
      <c r="A22" s="23" t="str">
        <f ca="1">IFERROR(__xludf.DUMMYFUNCTION("""COMPUTED_VALUE"""),"REFRENDOS GIRO RESTRINGIDO")</f>
        <v>REFRENDOS GIRO RESTRINGIDO</v>
      </c>
      <c r="B22" s="23">
        <f ca="1">IFERROR(__xludf.DUMMYFUNCTION("""COMPUTED_VALUE"""),1)</f>
        <v>1</v>
      </c>
      <c r="C22" s="23" t="str">
        <f ca="1">IFERROR(__xludf.DUMMYFUNCTION("""COMPUTED_VALUE"""),"REFRENDOS")</f>
        <v>REFRENDOS</v>
      </c>
      <c r="D22" s="23" t="str">
        <f ca="1">IFERROR(__xludf.DUMMYFUNCTION("""COMPUTED_VALUE"""),"ASCENDENTE")</f>
        <v>ASCENDENTE</v>
      </c>
      <c r="E22" s="23" t="str">
        <f ca="1">IFERROR(__xludf.DUMMYFUNCTION("""COMPUTED_VALUE"""),"BITACORA OPERATIVA")</f>
        <v>BITACORA OPERATIVA</v>
      </c>
      <c r="F22" s="23">
        <f ca="1">IFERROR(__xludf.DUMMYFUNCTION("""COMPUTED_VALUE"""),0)</f>
        <v>0</v>
      </c>
      <c r="G22" s="23">
        <f ca="1">IFERROR(__xludf.DUMMYFUNCTION("""COMPUTED_VALUE"""),0)</f>
        <v>0</v>
      </c>
      <c r="H22" s="23">
        <f ca="1">IFERROR(__xludf.DUMMYFUNCTION("""COMPUTED_VALUE"""),0)</f>
        <v>0</v>
      </c>
      <c r="I22" s="23">
        <f ca="1">IFERROR(__xludf.DUMMYFUNCTION("""COMPUTED_VALUE"""),0)</f>
        <v>0</v>
      </c>
      <c r="J22" s="23">
        <f ca="1">IFERROR(__xludf.DUMMYFUNCTION("""COMPUTED_VALUE"""),23)</f>
        <v>23</v>
      </c>
      <c r="K22" s="23">
        <f ca="1">IFERROR(__xludf.DUMMYFUNCTION("""COMPUTED_VALUE"""),0)</f>
        <v>0</v>
      </c>
      <c r="L22" s="23">
        <f ca="1">IFERROR(__xludf.DUMMYFUNCTION("""COMPUTED_VALUE"""),0)</f>
        <v>0</v>
      </c>
      <c r="M22" s="23">
        <f ca="1">IFERROR(__xludf.DUMMYFUNCTION("""COMPUTED_VALUE"""),0)</f>
        <v>0</v>
      </c>
      <c r="N22" s="23">
        <f ca="1">IFERROR(__xludf.DUMMYFUNCTION("""COMPUTED_VALUE"""),0)</f>
        <v>0</v>
      </c>
      <c r="O22" s="23">
        <f ca="1">IFERROR(__xludf.DUMMYFUNCTION("""COMPUTED_VALUE"""),0)</f>
        <v>0</v>
      </c>
      <c r="P22" s="23">
        <f ca="1">IFERROR(__xludf.DUMMYFUNCTION("""COMPUTED_VALUE"""),0)</f>
        <v>0</v>
      </c>
      <c r="Q22" s="23">
        <f ca="1">IFERROR(__xludf.DUMMYFUNCTION("""COMPUTED_VALUE"""),0)</f>
        <v>0</v>
      </c>
      <c r="R22" s="23">
        <f ca="1">IFERROR(__xludf.DUMMYFUNCTION("""COMPUTED_VALUE"""),0)</f>
        <v>0</v>
      </c>
      <c r="S22" s="23">
        <f ca="1">IFERROR(__xludf.DUMMYFUNCTION("""COMPUTED_VALUE"""),23)</f>
        <v>23</v>
      </c>
    </row>
    <row r="23" spans="1:19">
      <c r="A23" s="23" t="str">
        <f ca="1">IFERROR(__xludf.DUMMYFUNCTION("""COMPUTED_VALUE"""),"CAMBIOS DE PROPIETARIO GIRO RESTRINGIDO")</f>
        <v>CAMBIOS DE PROPIETARIO GIRO RESTRINGIDO</v>
      </c>
      <c r="B23" s="23">
        <f ca="1">IFERROR(__xludf.DUMMYFUNCTION("""COMPUTED_VALUE"""),1)</f>
        <v>1</v>
      </c>
      <c r="C23" s="23" t="str">
        <f ca="1">IFERROR(__xludf.DUMMYFUNCTION("""COMPUTED_VALUE"""),"CAMBIOS")</f>
        <v>CAMBIOS</v>
      </c>
      <c r="D23" s="23" t="str">
        <f ca="1">IFERROR(__xludf.DUMMYFUNCTION("""COMPUTED_VALUE"""),"ASCENDENTE")</f>
        <v>ASCENDENTE</v>
      </c>
      <c r="E23" s="23" t="str">
        <f ca="1">IFERROR(__xludf.DUMMYFUNCTION("""COMPUTED_VALUE"""),"BITACORA OPERATIVA")</f>
        <v>BITACORA OPERATIVA</v>
      </c>
      <c r="F23" s="23">
        <f ca="1">IFERROR(__xludf.DUMMYFUNCTION("""COMPUTED_VALUE"""),0)</f>
        <v>0</v>
      </c>
      <c r="G23" s="23">
        <f ca="1">IFERROR(__xludf.DUMMYFUNCTION("""COMPUTED_VALUE"""),0)</f>
        <v>0</v>
      </c>
      <c r="H23" s="23">
        <f ca="1">IFERROR(__xludf.DUMMYFUNCTION("""COMPUTED_VALUE"""),0)</f>
        <v>0</v>
      </c>
      <c r="I23" s="23">
        <f ca="1">IFERROR(__xludf.DUMMYFUNCTION("""COMPUTED_VALUE"""),0)</f>
        <v>0</v>
      </c>
      <c r="J23" s="23">
        <f ca="1">IFERROR(__xludf.DUMMYFUNCTION("""COMPUTED_VALUE"""),103)</f>
        <v>103</v>
      </c>
      <c r="K23" s="23">
        <f ca="1">IFERROR(__xludf.DUMMYFUNCTION("""COMPUTED_VALUE"""),0)</f>
        <v>0</v>
      </c>
      <c r="L23" s="23">
        <f ca="1">IFERROR(__xludf.DUMMYFUNCTION("""COMPUTED_VALUE"""),0)</f>
        <v>0</v>
      </c>
      <c r="M23" s="23">
        <f ca="1">IFERROR(__xludf.DUMMYFUNCTION("""COMPUTED_VALUE"""),0)</f>
        <v>0</v>
      </c>
      <c r="N23" s="23">
        <f ca="1">IFERROR(__xludf.DUMMYFUNCTION("""COMPUTED_VALUE"""),0)</f>
        <v>0</v>
      </c>
      <c r="O23" s="23">
        <f ca="1">IFERROR(__xludf.DUMMYFUNCTION("""COMPUTED_VALUE"""),0)</f>
        <v>0</v>
      </c>
      <c r="P23" s="23">
        <f ca="1">IFERROR(__xludf.DUMMYFUNCTION("""COMPUTED_VALUE"""),0)</f>
        <v>0</v>
      </c>
      <c r="Q23" s="23">
        <f ca="1">IFERROR(__xludf.DUMMYFUNCTION("""COMPUTED_VALUE"""),0)</f>
        <v>0</v>
      </c>
      <c r="R23" s="23">
        <f ca="1">IFERROR(__xludf.DUMMYFUNCTION("""COMPUTED_VALUE"""),0)</f>
        <v>0</v>
      </c>
      <c r="S23" s="23">
        <f ca="1">IFERROR(__xludf.DUMMYFUNCTION("""COMPUTED_VALUE"""),103)</f>
        <v>103</v>
      </c>
    </row>
    <row r="24" spans="1:19">
      <c r="A24" s="23" t="str">
        <f ca="1">IFERROR(__xludf.DUMMYFUNCTION("""COMPUTED_VALUE"""),"NUMERO TOTAL DE COMERCIO AMBULANTE")</f>
        <v>NUMERO TOTAL DE COMERCIO AMBULANTE</v>
      </c>
      <c r="B24" s="23">
        <f ca="1">IFERROR(__xludf.DUMMYFUNCTION("""COMPUTED_VALUE"""),1)</f>
        <v>1</v>
      </c>
      <c r="C24" s="23" t="str">
        <f ca="1">IFERROR(__xludf.DUMMYFUNCTION("""COMPUTED_VALUE"""),"COMERCIOS AMBULANTES")</f>
        <v>COMERCIOS AMBULANTES</v>
      </c>
      <c r="D24" s="23" t="str">
        <f ca="1">IFERROR(__xludf.DUMMYFUNCTION("""COMPUTED_VALUE"""),"ASCENDENTE")</f>
        <v>ASCENDENTE</v>
      </c>
      <c r="E24" s="23" t="str">
        <f ca="1">IFERROR(__xludf.DUMMYFUNCTION("""COMPUTED_VALUE"""),"BITACORA OPERATIVA")</f>
        <v>BITACORA OPERATIVA</v>
      </c>
      <c r="F24" s="23">
        <f ca="1">IFERROR(__xludf.DUMMYFUNCTION("""COMPUTED_VALUE"""),0)</f>
        <v>0</v>
      </c>
      <c r="G24" s="23">
        <f ca="1">IFERROR(__xludf.DUMMYFUNCTION("""COMPUTED_VALUE"""),0)</f>
        <v>0</v>
      </c>
      <c r="H24" s="23">
        <f ca="1">IFERROR(__xludf.DUMMYFUNCTION("""COMPUTED_VALUE"""),0)</f>
        <v>0</v>
      </c>
      <c r="I24" s="23">
        <f ca="1">IFERROR(__xludf.DUMMYFUNCTION("""COMPUTED_VALUE"""),0)</f>
        <v>0</v>
      </c>
      <c r="J24" s="23">
        <f ca="1">IFERROR(__xludf.DUMMYFUNCTION("""COMPUTED_VALUE"""),112)</f>
        <v>112</v>
      </c>
      <c r="K24" s="23">
        <f ca="1">IFERROR(__xludf.DUMMYFUNCTION("""COMPUTED_VALUE"""),0)</f>
        <v>0</v>
      </c>
      <c r="L24" s="23">
        <f ca="1">IFERROR(__xludf.DUMMYFUNCTION("""COMPUTED_VALUE"""),0)</f>
        <v>0</v>
      </c>
      <c r="M24" s="23">
        <f ca="1">IFERROR(__xludf.DUMMYFUNCTION("""COMPUTED_VALUE"""),0)</f>
        <v>0</v>
      </c>
      <c r="N24" s="23">
        <f ca="1">IFERROR(__xludf.DUMMYFUNCTION("""COMPUTED_VALUE"""),0)</f>
        <v>0</v>
      </c>
      <c r="O24" s="23">
        <f ca="1">IFERROR(__xludf.DUMMYFUNCTION("""COMPUTED_VALUE"""),0)</f>
        <v>0</v>
      </c>
      <c r="P24" s="23">
        <f ca="1">IFERROR(__xludf.DUMMYFUNCTION("""COMPUTED_VALUE"""),0)</f>
        <v>0</v>
      </c>
      <c r="Q24" s="23">
        <f ca="1">IFERROR(__xludf.DUMMYFUNCTION("""COMPUTED_VALUE"""),0)</f>
        <v>0</v>
      </c>
      <c r="R24" s="23">
        <f ca="1">IFERROR(__xludf.DUMMYFUNCTION("""COMPUTED_VALUE"""),0)</f>
        <v>0</v>
      </c>
      <c r="S24" s="23">
        <f ca="1">IFERROR(__xludf.DUMMYFUNCTION("""COMPUTED_VALUE"""),112)</f>
        <v>112</v>
      </c>
    </row>
    <row r="25" spans="1:19">
      <c r="A25" s="23" t="str">
        <f ca="1">IFERROR(__xludf.DUMMYFUNCTION("""COMPUTED_VALUE"""),"ASIGANCION DE ESPACIOS COMERCIO INFORMAL")</f>
        <v>ASIGANCION DE ESPACIOS COMERCIO INFORMAL</v>
      </c>
      <c r="B25" s="23">
        <f ca="1">IFERROR(__xludf.DUMMYFUNCTION("""COMPUTED_VALUE"""),1)</f>
        <v>1</v>
      </c>
      <c r="C25" s="23" t="str">
        <f ca="1">IFERROR(__xludf.DUMMYFUNCTION("""COMPUTED_VALUE"""),"ESPACIOS")</f>
        <v>ESPACIOS</v>
      </c>
      <c r="D25" s="23" t="str">
        <f ca="1">IFERROR(__xludf.DUMMYFUNCTION("""COMPUTED_VALUE"""),"ASCENDENTE")</f>
        <v>ASCENDENTE</v>
      </c>
      <c r="E25" s="23" t="str">
        <f ca="1">IFERROR(__xludf.DUMMYFUNCTION("""COMPUTED_VALUE"""),"BITACORA OPERATIVA")</f>
        <v>BITACORA OPERATIVA</v>
      </c>
      <c r="F25" s="23">
        <f ca="1">IFERROR(__xludf.DUMMYFUNCTION("""COMPUTED_VALUE"""),0)</f>
        <v>0</v>
      </c>
      <c r="G25" s="23">
        <f ca="1">IFERROR(__xludf.DUMMYFUNCTION("""COMPUTED_VALUE"""),0)</f>
        <v>0</v>
      </c>
      <c r="H25" s="23">
        <f ca="1">IFERROR(__xludf.DUMMYFUNCTION("""COMPUTED_VALUE"""),0)</f>
        <v>0</v>
      </c>
      <c r="I25" s="23">
        <f ca="1">IFERROR(__xludf.DUMMYFUNCTION("""COMPUTED_VALUE"""),0)</f>
        <v>0</v>
      </c>
      <c r="J25" s="23">
        <f ca="1">IFERROR(__xludf.DUMMYFUNCTION("""COMPUTED_VALUE"""),2)</f>
        <v>2</v>
      </c>
      <c r="K25" s="23">
        <f ca="1">IFERROR(__xludf.DUMMYFUNCTION("""COMPUTED_VALUE"""),0)</f>
        <v>0</v>
      </c>
      <c r="L25" s="23">
        <f ca="1">IFERROR(__xludf.DUMMYFUNCTION("""COMPUTED_VALUE"""),0)</f>
        <v>0</v>
      </c>
      <c r="M25" s="23">
        <f ca="1">IFERROR(__xludf.DUMMYFUNCTION("""COMPUTED_VALUE"""),0)</f>
        <v>0</v>
      </c>
      <c r="N25" s="23">
        <f ca="1">IFERROR(__xludf.DUMMYFUNCTION("""COMPUTED_VALUE"""),0)</f>
        <v>0</v>
      </c>
      <c r="O25" s="23">
        <f ca="1">IFERROR(__xludf.DUMMYFUNCTION("""COMPUTED_VALUE"""),0)</f>
        <v>0</v>
      </c>
      <c r="P25" s="23">
        <f ca="1">IFERROR(__xludf.DUMMYFUNCTION("""COMPUTED_VALUE"""),0)</f>
        <v>0</v>
      </c>
      <c r="Q25" s="23">
        <f ca="1">IFERROR(__xludf.DUMMYFUNCTION("""COMPUTED_VALUE"""),0)</f>
        <v>0</v>
      </c>
      <c r="R25" s="23">
        <f ca="1">IFERROR(__xludf.DUMMYFUNCTION("""COMPUTED_VALUE"""),0)</f>
        <v>0</v>
      </c>
      <c r="S25" s="23">
        <f ca="1">IFERROR(__xludf.DUMMYFUNCTION("""COMPUTED_VALUE"""),2)</f>
        <v>2</v>
      </c>
    </row>
    <row r="26" spans="1:19">
      <c r="A26" s="23" t="str">
        <f ca="1">IFERROR(__xludf.DUMMYFUNCTION("""COMPUTED_VALUE"""),"CAMBIOS DE DOMICILIO GIRO RESTRINGIDO")</f>
        <v>CAMBIOS DE DOMICILIO GIRO RESTRINGIDO</v>
      </c>
      <c r="B26" s="23">
        <f ca="1">IFERROR(__xludf.DUMMYFUNCTION("""COMPUTED_VALUE"""),1)</f>
        <v>1</v>
      </c>
      <c r="C26" s="23" t="str">
        <f ca="1">IFERROR(__xludf.DUMMYFUNCTION("""COMPUTED_VALUE"""),"CAMBIOS")</f>
        <v>CAMBIOS</v>
      </c>
      <c r="D26" s="23" t="str">
        <f ca="1">IFERROR(__xludf.DUMMYFUNCTION("""COMPUTED_VALUE"""),"ASCENDENTE")</f>
        <v>ASCENDENTE</v>
      </c>
      <c r="E26" s="23" t="str">
        <f ca="1">IFERROR(__xludf.DUMMYFUNCTION("""COMPUTED_VALUE"""),"BITACORA OPERATIVA")</f>
        <v>BITACORA OPERATIVA</v>
      </c>
      <c r="F26" s="23">
        <f ca="1">IFERROR(__xludf.DUMMYFUNCTION("""COMPUTED_VALUE"""),0)</f>
        <v>0</v>
      </c>
      <c r="G26" s="23">
        <f ca="1">IFERROR(__xludf.DUMMYFUNCTION("""COMPUTED_VALUE"""),0)</f>
        <v>0</v>
      </c>
      <c r="H26" s="23">
        <f ca="1">IFERROR(__xludf.DUMMYFUNCTION("""COMPUTED_VALUE"""),0)</f>
        <v>0</v>
      </c>
      <c r="I26" s="23">
        <f ca="1">IFERROR(__xludf.DUMMYFUNCTION("""COMPUTED_VALUE"""),0)</f>
        <v>0</v>
      </c>
      <c r="J26" s="23">
        <f ca="1">IFERROR(__xludf.DUMMYFUNCTION("""COMPUTED_VALUE"""),1)</f>
        <v>1</v>
      </c>
      <c r="K26" s="23">
        <f ca="1">IFERROR(__xludf.DUMMYFUNCTION("""COMPUTED_VALUE"""),0)</f>
        <v>0</v>
      </c>
      <c r="L26" s="23">
        <f ca="1">IFERROR(__xludf.DUMMYFUNCTION("""COMPUTED_VALUE"""),0)</f>
        <v>0</v>
      </c>
      <c r="M26" s="23">
        <f ca="1">IFERROR(__xludf.DUMMYFUNCTION("""COMPUTED_VALUE"""),0)</f>
        <v>0</v>
      </c>
      <c r="N26" s="23">
        <f ca="1">IFERROR(__xludf.DUMMYFUNCTION("""COMPUTED_VALUE"""),0)</f>
        <v>0</v>
      </c>
      <c r="O26" s="23">
        <f ca="1">IFERROR(__xludf.DUMMYFUNCTION("""COMPUTED_VALUE"""),0)</f>
        <v>0</v>
      </c>
      <c r="P26" s="23">
        <f ca="1">IFERROR(__xludf.DUMMYFUNCTION("""COMPUTED_VALUE"""),0)</f>
        <v>0</v>
      </c>
      <c r="Q26" s="23">
        <f ca="1">IFERROR(__xludf.DUMMYFUNCTION("""COMPUTED_VALUE"""),0)</f>
        <v>0</v>
      </c>
      <c r="R26" s="23">
        <f ca="1">IFERROR(__xludf.DUMMYFUNCTION("""COMPUTED_VALUE"""),0)</f>
        <v>0</v>
      </c>
      <c r="S26" s="23">
        <f ca="1">IFERROR(__xludf.DUMMYFUNCTION("""COMPUTED_VALUE"""),1)</f>
        <v>1</v>
      </c>
    </row>
    <row r="27" spans="1:19">
      <c r="A27" s="23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</row>
    <row r="28" spans="1:19">
      <c r="A28" s="23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</row>
    <row r="29" spans="1:19">
      <c r="A29" s="23"/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</row>
    <row r="30" spans="1:19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</row>
    <row r="31" spans="1:19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</row>
    <row r="32" spans="1:19">
      <c r="A32" s="23"/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</row>
    <row r="33" spans="1:19">
      <c r="A33" s="23"/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</row>
    <row r="34" spans="1:19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</row>
    <row r="35" spans="1:19">
      <c r="A35" s="23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</row>
    <row r="36" spans="1:19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</row>
    <row r="37" spans="1:19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</row>
    <row r="38" spans="1:19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</row>
    <row r="39" spans="1:19">
      <c r="A39" s="23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</row>
    <row r="41" spans="1:19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</row>
    <row r="42" spans="1:19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</row>
    <row r="43" spans="1:19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</row>
    <row r="44" spans="1:19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</row>
    <row r="45" spans="1:19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</row>
    <row r="46" spans="1:19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</row>
    <row r="47" spans="1:19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</row>
    <row r="48" spans="1:19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</row>
    <row r="49" spans="1:19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</row>
    <row r="50" spans="1:19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</row>
    <row r="51" spans="1:19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</row>
    <row r="52" spans="1:19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</row>
    <row r="53" spans="1:19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</row>
    <row r="54" spans="1:19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</row>
    <row r="55" spans="1:19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</row>
    <row r="56" spans="1:19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</row>
    <row r="57" spans="1:19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</row>
    <row r="58" spans="1:19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</row>
    <row r="59" spans="1:19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</row>
    <row r="60" spans="1:19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</row>
    <row r="61" spans="1:19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</row>
    <row r="62" spans="1:19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</row>
    <row r="63" spans="1:19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</row>
    <row r="64" spans="1:19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</row>
    <row r="65" spans="1:19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</row>
    <row r="66" spans="1:19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</row>
    <row r="67" spans="1:19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</row>
    <row r="68" spans="1:19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</row>
    <row r="69" spans="1:19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</row>
    <row r="70" spans="1:19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</row>
    <row r="71" spans="1:19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</row>
    <row r="72" spans="1:19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</row>
    <row r="73" spans="1:19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</row>
    <row r="74" spans="1:19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</row>
    <row r="75" spans="1:19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</row>
    <row r="76" spans="1:19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</row>
    <row r="77" spans="1:19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</row>
    <row r="78" spans="1:19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</row>
    <row r="79" spans="1:19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</row>
    <row r="80" spans="1:19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</row>
    <row r="81" spans="1:19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</row>
    <row r="82" spans="1:19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</row>
    <row r="83" spans="1:19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</row>
    <row r="84" spans="1:19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</row>
    <row r="85" spans="1:19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</row>
    <row r="86" spans="1:19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</row>
    <row r="87" spans="1:19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</row>
    <row r="88" spans="1:19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</row>
    <row r="89" spans="1:19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</row>
    <row r="90" spans="1:19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</row>
    <row r="91" spans="1:19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</row>
    <row r="92" spans="1:19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</row>
    <row r="93" spans="1:19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</row>
    <row r="94" spans="1:19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</row>
    <row r="95" spans="1:19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</row>
    <row r="96" spans="1:19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</row>
    <row r="97" spans="1:19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</row>
    <row r="98" spans="1:19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</row>
    <row r="99" spans="1:19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</row>
    <row r="100" spans="1:19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</row>
    <row r="101" spans="1:19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</row>
    <row r="102" spans="1:19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</row>
    <row r="103" spans="1:19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</row>
    <row r="104" spans="1:19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</row>
    <row r="105" spans="1:19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</row>
    <row r="106" spans="1:19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</row>
    <row r="107" spans="1:19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</row>
    <row r="108" spans="1:19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</row>
    <row r="109" spans="1:19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</row>
    <row r="110" spans="1:19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</row>
    <row r="111" spans="1:19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</row>
    <row r="112" spans="1:19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</row>
    <row r="113" spans="1:19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</row>
    <row r="114" spans="1:19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</row>
    <row r="115" spans="1:19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</row>
    <row r="116" spans="1:19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</row>
    <row r="117" spans="1:19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</row>
    <row r="118" spans="1:19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</row>
    <row r="119" spans="1:19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</row>
    <row r="120" spans="1:19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</row>
    <row r="121" spans="1:19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</row>
    <row r="122" spans="1:19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</row>
    <row r="123" spans="1:19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</row>
    <row r="124" spans="1:19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</row>
    <row r="125" spans="1:19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</row>
    <row r="126" spans="1:19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</row>
    <row r="127" spans="1:19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</row>
    <row r="128" spans="1:19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</row>
    <row r="129" spans="1:19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</row>
    <row r="130" spans="1:19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</row>
    <row r="131" spans="1:19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</row>
    <row r="132" spans="1:19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</row>
    <row r="133" spans="1:19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</row>
    <row r="134" spans="1:19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</row>
    <row r="135" spans="1:19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</row>
    <row r="136" spans="1:19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</row>
    <row r="137" spans="1:19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</row>
    <row r="138" spans="1:19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</row>
    <row r="139" spans="1:19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</row>
    <row r="140" spans="1:19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</row>
    <row r="141" spans="1:19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</row>
    <row r="142" spans="1:19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</row>
    <row r="143" spans="1:19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</row>
    <row r="144" spans="1:19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</row>
    <row r="145" spans="1:19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</row>
    <row r="146" spans="1:19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</row>
    <row r="147" spans="1:19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</row>
    <row r="148" spans="1:19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</row>
    <row r="149" spans="1:19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</row>
    <row r="150" spans="1:19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</row>
    <row r="151" spans="1:19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</row>
    <row r="152" spans="1:19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</row>
    <row r="153" spans="1:19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</row>
    <row r="154" spans="1:19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</row>
    <row r="155" spans="1:19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</row>
    <row r="156" spans="1:19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</row>
    <row r="157" spans="1:19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</row>
    <row r="158" spans="1:19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</row>
    <row r="159" spans="1:19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</row>
    <row r="160" spans="1:19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</row>
    <row r="161" spans="1:19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</row>
    <row r="162" spans="1:19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</row>
    <row r="163" spans="1:19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</row>
    <row r="164" spans="1:19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</row>
    <row r="165" spans="1:19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</row>
    <row r="166" spans="1:19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</row>
    <row r="167" spans="1:19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</row>
    <row r="168" spans="1:19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</row>
    <row r="169" spans="1:19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</row>
    <row r="170" spans="1:19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</row>
    <row r="171" spans="1:19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</row>
    <row r="172" spans="1:19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</row>
    <row r="173" spans="1:19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</row>
    <row r="174" spans="1:19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</row>
    <row r="175" spans="1:19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</row>
    <row r="176" spans="1:19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</row>
    <row r="177" spans="1:19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</row>
    <row r="178" spans="1:19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</row>
    <row r="179" spans="1:19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</row>
    <row r="180" spans="1:19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</row>
    <row r="181" spans="1:19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</row>
    <row r="182" spans="1:19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</row>
    <row r="183" spans="1:19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</row>
    <row r="184" spans="1:19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</row>
    <row r="185" spans="1:19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</row>
    <row r="186" spans="1:19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</row>
    <row r="187" spans="1:19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</row>
    <row r="188" spans="1:19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</row>
    <row r="189" spans="1:19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</row>
    <row r="190" spans="1:19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</row>
    <row r="191" spans="1:19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</row>
    <row r="192" spans="1:19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</row>
    <row r="193" spans="1:19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</row>
    <row r="194" spans="1:19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</row>
    <row r="195" spans="1:19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</row>
    <row r="196" spans="1:19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</row>
    <row r="197" spans="1:19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</row>
    <row r="198" spans="1:19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</row>
    <row r="199" spans="1:19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</row>
    <row r="200" spans="1:19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</row>
    <row r="201" spans="1:19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</row>
    <row r="202" spans="1:19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</row>
    <row r="203" spans="1:19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</row>
    <row r="204" spans="1:19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</row>
    <row r="205" spans="1:19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</row>
    <row r="206" spans="1:19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</row>
    <row r="207" spans="1:19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</row>
    <row r="208" spans="1:19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</row>
    <row r="209" spans="1:19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</row>
    <row r="210" spans="1:19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</row>
    <row r="211" spans="1:19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</row>
    <row r="212" spans="1:19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</row>
    <row r="213" spans="1:19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</row>
    <row r="214" spans="1:19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</row>
    <row r="215" spans="1:19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</row>
    <row r="216" spans="1:19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</row>
    <row r="217" spans="1:19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</row>
    <row r="218" spans="1:19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</row>
    <row r="219" spans="1:19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</row>
    <row r="220" spans="1:19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</row>
    <row r="221" spans="1:19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</row>
    <row r="222" spans="1:19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</row>
    <row r="223" spans="1:19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</row>
    <row r="224" spans="1:19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</row>
    <row r="225" spans="1:19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</row>
    <row r="226" spans="1:19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</row>
    <row r="227" spans="1:19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</row>
    <row r="228" spans="1:19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</row>
    <row r="229" spans="1:19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</row>
    <row r="230" spans="1:19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</row>
    <row r="231" spans="1:19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</row>
    <row r="232" spans="1:19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</row>
    <row r="233" spans="1:19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</row>
    <row r="234" spans="1:19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</row>
    <row r="235" spans="1:19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</row>
    <row r="236" spans="1:19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</row>
    <row r="237" spans="1:19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</row>
    <row r="238" spans="1:19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</row>
    <row r="239" spans="1:19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</row>
    <row r="240" spans="1:19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</row>
    <row r="241" spans="1:19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</row>
    <row r="242" spans="1:19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</row>
    <row r="243" spans="1:19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</row>
    <row r="244" spans="1:19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</row>
    <row r="245" spans="1:19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</row>
    <row r="246" spans="1:19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</row>
    <row r="247" spans="1:19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</row>
    <row r="248" spans="1:19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</row>
    <row r="249" spans="1:19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</row>
    <row r="250" spans="1:19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</row>
    <row r="251" spans="1:19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</row>
    <row r="252" spans="1:19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</row>
    <row r="253" spans="1:19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</row>
    <row r="254" spans="1:19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</row>
    <row r="255" spans="1:19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</row>
    <row r="256" spans="1:19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</row>
    <row r="257" spans="1:19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</row>
    <row r="258" spans="1:19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</row>
    <row r="259" spans="1:19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</row>
    <row r="260" spans="1:19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</row>
    <row r="261" spans="1:19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</row>
    <row r="262" spans="1:19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</row>
    <row r="263" spans="1:19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</row>
    <row r="264" spans="1:19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</row>
    <row r="265" spans="1:19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</row>
    <row r="266" spans="1:19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</row>
    <row r="267" spans="1:19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</row>
    <row r="268" spans="1:19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</row>
    <row r="269" spans="1:19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</row>
    <row r="270" spans="1:19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</row>
    <row r="271" spans="1:19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</row>
    <row r="272" spans="1:19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</row>
    <row r="273" spans="1:19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</row>
    <row r="274" spans="1:19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</row>
    <row r="275" spans="1:19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</row>
    <row r="276" spans="1:19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</row>
    <row r="277" spans="1:19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</row>
    <row r="278" spans="1:19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</row>
    <row r="279" spans="1:19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</row>
    <row r="280" spans="1:19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</row>
    <row r="281" spans="1:19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</row>
    <row r="282" spans="1:19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</row>
    <row r="283" spans="1:19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</row>
    <row r="284" spans="1:19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</row>
    <row r="285" spans="1:19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</row>
    <row r="286" spans="1:19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</row>
    <row r="287" spans="1:19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</row>
    <row r="288" spans="1:19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</row>
    <row r="289" spans="1:19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</row>
    <row r="290" spans="1:19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</row>
    <row r="291" spans="1:19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</row>
    <row r="292" spans="1:19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</row>
    <row r="293" spans="1:19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</row>
    <row r="294" spans="1:19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</row>
    <row r="295" spans="1:19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</row>
    <row r="296" spans="1:19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</row>
    <row r="297" spans="1:19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</row>
    <row r="298" spans="1:19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</row>
    <row r="299" spans="1:19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</row>
    <row r="300" spans="1:19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</row>
    <row r="301" spans="1:19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</row>
    <row r="302" spans="1:19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</row>
    <row r="303" spans="1:19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</row>
    <row r="304" spans="1:19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</row>
    <row r="305" spans="1:19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</row>
    <row r="306" spans="1:19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</row>
    <row r="307" spans="1:19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</row>
    <row r="308" spans="1:19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</row>
    <row r="309" spans="1:19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</row>
    <row r="310" spans="1:19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</row>
    <row r="311" spans="1:19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</row>
    <row r="312" spans="1:19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</row>
    <row r="313" spans="1:19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</row>
    <row r="314" spans="1:19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</row>
    <row r="315" spans="1:19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</row>
    <row r="316" spans="1:19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</row>
    <row r="317" spans="1:19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</row>
    <row r="318" spans="1:19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</row>
    <row r="319" spans="1:19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</row>
    <row r="320" spans="1:19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</row>
    <row r="321" spans="1:19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</row>
    <row r="322" spans="1:19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</row>
    <row r="323" spans="1:19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</row>
    <row r="324" spans="1:19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</row>
    <row r="325" spans="1:19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</row>
    <row r="326" spans="1:19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</row>
    <row r="327" spans="1:19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</row>
    <row r="328" spans="1:19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</row>
    <row r="329" spans="1:19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</row>
    <row r="330" spans="1:19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</row>
    <row r="331" spans="1:19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</row>
    <row r="332" spans="1:19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</row>
    <row r="333" spans="1:19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</row>
    <row r="334" spans="1:19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</row>
    <row r="335" spans="1:19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</row>
    <row r="336" spans="1:19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</row>
    <row r="337" spans="1:19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</row>
    <row r="338" spans="1:19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</row>
    <row r="339" spans="1:19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</row>
    <row r="340" spans="1:19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</row>
    <row r="341" spans="1:19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</row>
    <row r="342" spans="1:19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</row>
    <row r="343" spans="1:19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</row>
    <row r="344" spans="1:19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</row>
    <row r="345" spans="1:19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</row>
    <row r="346" spans="1:19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</row>
    <row r="347" spans="1:19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</row>
    <row r="348" spans="1:19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</row>
    <row r="349" spans="1:19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</row>
    <row r="350" spans="1:19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</row>
    <row r="351" spans="1:19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</row>
    <row r="352" spans="1:19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</row>
    <row r="353" spans="1:19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</row>
    <row r="354" spans="1:19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</row>
    <row r="355" spans="1:19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</row>
    <row r="356" spans="1:19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</row>
    <row r="357" spans="1:19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</row>
    <row r="358" spans="1:19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</row>
    <row r="359" spans="1:19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</row>
    <row r="360" spans="1:19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</row>
    <row r="361" spans="1:19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</row>
    <row r="362" spans="1:19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</row>
    <row r="363" spans="1:19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</row>
    <row r="364" spans="1:19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</row>
    <row r="365" spans="1:19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</row>
    <row r="366" spans="1:19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</row>
    <row r="367" spans="1:19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</row>
    <row r="368" spans="1:19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</row>
    <row r="369" spans="1:19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</row>
    <row r="370" spans="1:19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</row>
    <row r="371" spans="1:19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</row>
    <row r="372" spans="1:19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</row>
    <row r="373" spans="1:19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</row>
    <row r="374" spans="1:19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</row>
    <row r="375" spans="1:19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</row>
    <row r="376" spans="1:19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</row>
    <row r="377" spans="1:19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</row>
    <row r="378" spans="1:19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</row>
    <row r="379" spans="1:19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</row>
    <row r="380" spans="1:19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</row>
    <row r="381" spans="1:19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</row>
    <row r="382" spans="1:19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</row>
    <row r="383" spans="1:19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</row>
    <row r="384" spans="1:19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</row>
    <row r="385" spans="1:19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</row>
    <row r="386" spans="1:19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</row>
    <row r="387" spans="1:19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</row>
    <row r="388" spans="1:19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</row>
    <row r="389" spans="1:19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</row>
    <row r="390" spans="1:19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</row>
    <row r="391" spans="1:19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</row>
    <row r="392" spans="1:19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</row>
    <row r="393" spans="1:19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</row>
    <row r="394" spans="1:19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</row>
    <row r="395" spans="1:19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</row>
    <row r="396" spans="1:19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</row>
    <row r="397" spans="1:19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</row>
    <row r="398" spans="1:19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</row>
    <row r="399" spans="1:19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</row>
    <row r="400" spans="1:19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</row>
    <row r="401" spans="1:19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</row>
    <row r="402" spans="1:19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</row>
    <row r="403" spans="1:19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</row>
    <row r="404" spans="1:19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</row>
    <row r="405" spans="1:19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</row>
    <row r="406" spans="1:19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</row>
    <row r="407" spans="1:19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</row>
    <row r="408" spans="1:19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</row>
    <row r="409" spans="1:19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</row>
    <row r="410" spans="1:19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</row>
    <row r="411" spans="1:19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</row>
    <row r="412" spans="1:19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</row>
    <row r="413" spans="1:19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</row>
    <row r="414" spans="1:19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</row>
    <row r="415" spans="1:19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</row>
    <row r="416" spans="1:19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</row>
    <row r="417" spans="1:19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</row>
    <row r="418" spans="1:19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</row>
    <row r="419" spans="1:19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</row>
    <row r="420" spans="1:19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</row>
    <row r="421" spans="1:19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</row>
    <row r="422" spans="1:19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</row>
    <row r="423" spans="1:19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</row>
    <row r="424" spans="1:19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</row>
    <row r="425" spans="1:19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</row>
    <row r="426" spans="1:19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</row>
    <row r="427" spans="1:19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</row>
    <row r="428" spans="1:19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</row>
    <row r="429" spans="1:19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</row>
    <row r="430" spans="1:19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</row>
    <row r="431" spans="1:19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</row>
    <row r="432" spans="1:19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</row>
    <row r="433" spans="1:19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</row>
    <row r="434" spans="1:19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</row>
    <row r="435" spans="1:19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</row>
    <row r="436" spans="1:19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</row>
    <row r="437" spans="1:19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</row>
    <row r="438" spans="1:19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</row>
    <row r="439" spans="1:19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</row>
    <row r="440" spans="1:19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</row>
    <row r="441" spans="1:19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</row>
    <row r="442" spans="1:19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</row>
    <row r="443" spans="1:19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</row>
    <row r="444" spans="1:19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</row>
    <row r="445" spans="1:19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</row>
    <row r="446" spans="1:19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</row>
    <row r="447" spans="1:19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</row>
    <row r="448" spans="1:19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</row>
    <row r="449" spans="1:19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</row>
    <row r="450" spans="1:19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</row>
    <row r="451" spans="1:19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</row>
    <row r="452" spans="1:19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</row>
    <row r="453" spans="1:19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</row>
    <row r="454" spans="1:19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</row>
    <row r="455" spans="1:19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</row>
    <row r="456" spans="1:19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</row>
    <row r="457" spans="1:19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</row>
    <row r="458" spans="1:19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</row>
    <row r="459" spans="1:19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</row>
    <row r="460" spans="1:19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</row>
    <row r="461" spans="1:19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</row>
    <row r="462" spans="1:19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</row>
    <row r="463" spans="1:19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</row>
    <row r="464" spans="1:19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</row>
    <row r="465" spans="1:19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</row>
    <row r="466" spans="1:19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</row>
    <row r="467" spans="1:19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</row>
    <row r="468" spans="1:19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</row>
    <row r="469" spans="1:19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</row>
    <row r="470" spans="1:19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</row>
    <row r="471" spans="1:19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</row>
    <row r="472" spans="1:19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</row>
    <row r="473" spans="1:19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</row>
    <row r="474" spans="1:19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</row>
    <row r="475" spans="1:19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</row>
    <row r="476" spans="1:19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</row>
    <row r="477" spans="1:19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</row>
    <row r="478" spans="1:19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</row>
    <row r="479" spans="1:19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</row>
    <row r="480" spans="1:19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</row>
    <row r="481" spans="1:19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</row>
    <row r="482" spans="1:19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</row>
    <row r="483" spans="1:19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</row>
    <row r="484" spans="1:19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</row>
    <row r="485" spans="1:19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</row>
    <row r="486" spans="1:19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</row>
    <row r="487" spans="1:19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</row>
    <row r="488" spans="1:19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</row>
    <row r="489" spans="1:19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</row>
    <row r="490" spans="1:19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</row>
    <row r="491" spans="1:19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</row>
    <row r="492" spans="1:19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</row>
    <row r="493" spans="1:19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</row>
    <row r="494" spans="1:19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</row>
    <row r="495" spans="1:19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</row>
    <row r="496" spans="1:19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</row>
    <row r="497" spans="1:19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</row>
    <row r="498" spans="1:19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</row>
    <row r="499" spans="1:19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</row>
    <row r="500" spans="1:19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</row>
    <row r="501" spans="1:19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</row>
    <row r="502" spans="1:19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</row>
    <row r="503" spans="1:19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</row>
    <row r="504" spans="1:19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</row>
    <row r="505" spans="1:19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</row>
    <row r="506" spans="1:19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</row>
    <row r="507" spans="1:19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</row>
    <row r="508" spans="1:19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</row>
    <row r="509" spans="1:19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</row>
    <row r="510" spans="1:19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</row>
    <row r="511" spans="1:19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</row>
    <row r="512" spans="1:19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</row>
    <row r="513" spans="1:19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</row>
    <row r="514" spans="1:19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</row>
    <row r="515" spans="1:19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</row>
    <row r="516" spans="1:19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</row>
    <row r="517" spans="1:19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</row>
    <row r="518" spans="1:19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</row>
    <row r="519" spans="1:19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</row>
    <row r="520" spans="1:19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</row>
    <row r="521" spans="1:19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</row>
    <row r="522" spans="1:19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</row>
    <row r="523" spans="1:19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</row>
    <row r="524" spans="1:19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</row>
    <row r="525" spans="1:19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</row>
    <row r="526" spans="1:19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</row>
    <row r="527" spans="1:19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</row>
    <row r="528" spans="1:19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</row>
    <row r="529" spans="1:19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</row>
    <row r="530" spans="1:19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</row>
    <row r="531" spans="1:19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</row>
    <row r="532" spans="1:19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</row>
    <row r="533" spans="1:19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</row>
    <row r="534" spans="1:19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</row>
    <row r="535" spans="1:19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</row>
    <row r="536" spans="1:19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</row>
    <row r="537" spans="1:19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</row>
    <row r="538" spans="1:19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</row>
    <row r="539" spans="1:19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</row>
    <row r="540" spans="1:19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</row>
    <row r="541" spans="1:19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</row>
    <row r="542" spans="1:19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</row>
    <row r="543" spans="1:19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</row>
    <row r="544" spans="1:19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</row>
    <row r="545" spans="1:19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</row>
    <row r="546" spans="1:19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</row>
    <row r="547" spans="1:19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</row>
    <row r="548" spans="1:19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</row>
    <row r="549" spans="1:19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</row>
    <row r="550" spans="1:19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</row>
    <row r="551" spans="1:19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</row>
    <row r="552" spans="1:19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</row>
    <row r="553" spans="1:19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</row>
    <row r="554" spans="1:19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</row>
    <row r="555" spans="1:19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</row>
    <row r="556" spans="1:19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</row>
    <row r="557" spans="1:19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</row>
    <row r="558" spans="1:19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</row>
    <row r="559" spans="1:19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</row>
    <row r="560" spans="1:19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</row>
    <row r="561" spans="1:19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</row>
    <row r="562" spans="1:19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</row>
    <row r="563" spans="1:19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</row>
    <row r="564" spans="1:19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</row>
    <row r="565" spans="1:19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</row>
    <row r="566" spans="1:19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</row>
    <row r="567" spans="1:19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</row>
    <row r="568" spans="1:19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</row>
    <row r="569" spans="1:19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</row>
    <row r="570" spans="1:19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</row>
    <row r="571" spans="1:19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</row>
    <row r="572" spans="1:19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</row>
    <row r="573" spans="1:19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</row>
    <row r="574" spans="1:19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</row>
    <row r="575" spans="1:19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</row>
    <row r="576" spans="1:19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</row>
    <row r="577" spans="1:19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</row>
    <row r="578" spans="1:19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</row>
    <row r="579" spans="1:19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</row>
    <row r="580" spans="1:19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</row>
    <row r="581" spans="1:19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</row>
    <row r="582" spans="1:19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</row>
    <row r="583" spans="1:19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</row>
    <row r="584" spans="1:19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</row>
    <row r="585" spans="1:19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</row>
    <row r="586" spans="1:19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</row>
    <row r="587" spans="1:19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</row>
    <row r="588" spans="1:19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</row>
    <row r="589" spans="1:19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</row>
    <row r="590" spans="1:19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</row>
    <row r="591" spans="1:19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</row>
    <row r="592" spans="1:19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</row>
    <row r="593" spans="1:19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</row>
    <row r="594" spans="1:19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</row>
    <row r="595" spans="1:19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</row>
    <row r="596" spans="1:19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</row>
    <row r="597" spans="1:19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</row>
    <row r="598" spans="1:19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</row>
    <row r="599" spans="1:19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</row>
    <row r="600" spans="1:19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</row>
    <row r="601" spans="1:19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</row>
    <row r="602" spans="1:19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</row>
    <row r="603" spans="1:19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</row>
    <row r="604" spans="1:19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</row>
    <row r="605" spans="1:19">
      <c r="A605" s="23"/>
      <c r="B605" s="23"/>
      <c r="C605" s="23"/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</row>
    <row r="606" spans="1:19">
      <c r="A606" s="23"/>
      <c r="B606" s="23"/>
      <c r="C606" s="23"/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</row>
    <row r="607" spans="1:19">
      <c r="A607" s="23"/>
      <c r="B607" s="23"/>
      <c r="C607" s="23"/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</row>
    <row r="608" spans="1:19">
      <c r="A608" s="23"/>
      <c r="B608" s="23"/>
      <c r="C608" s="23"/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</row>
    <row r="609" spans="1:19">
      <c r="A609" s="23"/>
      <c r="B609" s="23"/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</row>
    <row r="610" spans="1:19">
      <c r="A610" s="23"/>
      <c r="B610" s="23"/>
      <c r="C610" s="23"/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</row>
    <row r="611" spans="1:19">
      <c r="A611" s="23"/>
      <c r="B611" s="23"/>
      <c r="C611" s="23"/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</row>
    <row r="612" spans="1:19">
      <c r="A612" s="23"/>
      <c r="B612" s="23"/>
      <c r="C612" s="23"/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</row>
    <row r="613" spans="1:19">
      <c r="A613" s="23"/>
      <c r="B613" s="23"/>
      <c r="C613" s="23"/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</row>
    <row r="614" spans="1:19">
      <c r="A614" s="23"/>
      <c r="B614" s="23"/>
      <c r="C614" s="23"/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</row>
    <row r="615" spans="1:19">
      <c r="A615" s="23"/>
      <c r="B615" s="23"/>
      <c r="C615" s="23"/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</row>
    <row r="616" spans="1:19">
      <c r="A616" s="23"/>
      <c r="B616" s="23"/>
      <c r="C616" s="23"/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</row>
    <row r="617" spans="1:19">
      <c r="A617" s="23"/>
      <c r="B617" s="23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</row>
    <row r="618" spans="1:19">
      <c r="A618" s="23"/>
      <c r="B618" s="23"/>
      <c r="C618" s="23"/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</row>
    <row r="619" spans="1:19">
      <c r="A619" s="23"/>
      <c r="B619" s="23"/>
      <c r="C619" s="23"/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</row>
    <row r="620" spans="1:19">
      <c r="A620" s="23"/>
      <c r="B620" s="23"/>
      <c r="C620" s="23"/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</row>
    <row r="621" spans="1:19">
      <c r="A621" s="23"/>
      <c r="B621" s="23"/>
      <c r="C621" s="23"/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</row>
    <row r="622" spans="1:19">
      <c r="A622" s="23"/>
      <c r="B622" s="23"/>
      <c r="C622" s="23"/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</row>
    <row r="623" spans="1:19">
      <c r="A623" s="23"/>
      <c r="B623" s="23"/>
      <c r="C623" s="23"/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</row>
    <row r="624" spans="1:19">
      <c r="A624" s="23"/>
      <c r="B624" s="23"/>
      <c r="C624" s="23"/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</row>
    <row r="625" spans="1:19">
      <c r="A625" s="23"/>
      <c r="B625" s="23"/>
      <c r="C625" s="23"/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</row>
    <row r="626" spans="1:19">
      <c r="A626" s="23"/>
      <c r="B626" s="23"/>
      <c r="C626" s="23"/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</row>
    <row r="627" spans="1:19">
      <c r="A627" s="23"/>
      <c r="B627" s="23"/>
      <c r="C627" s="23"/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</row>
    <row r="628" spans="1:19">
      <c r="A628" s="23"/>
      <c r="B628" s="23"/>
      <c r="C628" s="23"/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</row>
    <row r="629" spans="1:19">
      <c r="A629" s="23"/>
      <c r="B629" s="23"/>
      <c r="C629" s="23"/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</row>
    <row r="630" spans="1:19">
      <c r="A630" s="23"/>
      <c r="B630" s="23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</row>
    <row r="631" spans="1:19">
      <c r="A631" s="23"/>
      <c r="B631" s="23"/>
      <c r="C631" s="23"/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</row>
    <row r="632" spans="1:19">
      <c r="A632" s="23"/>
      <c r="B632" s="23"/>
      <c r="C632" s="23"/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</row>
    <row r="633" spans="1:19">
      <c r="A633" s="23"/>
      <c r="B633" s="23"/>
      <c r="C633" s="23"/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</row>
    <row r="634" spans="1:19">
      <c r="A634" s="23"/>
      <c r="B634" s="23"/>
      <c r="C634" s="23"/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</row>
    <row r="635" spans="1:19">
      <c r="A635" s="23"/>
      <c r="B635" s="23"/>
      <c r="C635" s="23"/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</row>
    <row r="636" spans="1:19">
      <c r="A636" s="23"/>
      <c r="B636" s="23"/>
      <c r="C636" s="23"/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</row>
    <row r="637" spans="1:19">
      <c r="A637" s="23"/>
      <c r="B637" s="23"/>
      <c r="C637" s="23"/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</row>
    <row r="638" spans="1:19">
      <c r="A638" s="23"/>
      <c r="B638" s="23"/>
      <c r="C638" s="23"/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</row>
    <row r="639" spans="1:19">
      <c r="A639" s="23"/>
      <c r="B639" s="23"/>
      <c r="C639" s="23"/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</row>
    <row r="640" spans="1:19">
      <c r="A640" s="23"/>
      <c r="B640" s="23"/>
      <c r="C640" s="23"/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</row>
    <row r="641" spans="1:19">
      <c r="A641" s="23"/>
      <c r="B641" s="23"/>
      <c r="C641" s="23"/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</row>
    <row r="642" spans="1:19">
      <c r="A642" s="23"/>
      <c r="B642" s="23"/>
      <c r="C642" s="23"/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</row>
    <row r="643" spans="1:19">
      <c r="A643" s="23"/>
      <c r="B643" s="23"/>
      <c r="C643" s="23"/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</row>
    <row r="644" spans="1:19">
      <c r="A644" s="23"/>
      <c r="B644" s="23"/>
      <c r="C644" s="23"/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</row>
    <row r="645" spans="1:19">
      <c r="A645" s="23"/>
      <c r="B645" s="23"/>
      <c r="C645" s="23"/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</row>
    <row r="646" spans="1:19">
      <c r="A646" s="23"/>
      <c r="B646" s="23"/>
      <c r="C646" s="23"/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</row>
    <row r="647" spans="1:19">
      <c r="A647" s="23"/>
      <c r="B647" s="23"/>
      <c r="C647" s="23"/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</row>
    <row r="648" spans="1:19">
      <c r="A648" s="23"/>
      <c r="B648" s="23"/>
      <c r="C648" s="23"/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</row>
    <row r="649" spans="1:19">
      <c r="A649" s="23"/>
      <c r="B649" s="23"/>
      <c r="C649" s="23"/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</row>
    <row r="650" spans="1:19">
      <c r="A650" s="23"/>
      <c r="B650" s="23"/>
      <c r="C650" s="23"/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</row>
    <row r="651" spans="1:19">
      <c r="A651" s="23"/>
      <c r="B651" s="23"/>
      <c r="C651" s="23"/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</row>
    <row r="652" spans="1:19">
      <c r="A652" s="23"/>
      <c r="B652" s="23"/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</row>
    <row r="653" spans="1:19">
      <c r="A653" s="23"/>
      <c r="B653" s="23"/>
      <c r="C653" s="23"/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</row>
    <row r="654" spans="1:19">
      <c r="A654" s="23"/>
      <c r="B654" s="23"/>
      <c r="C654" s="23"/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</row>
    <row r="655" spans="1:19">
      <c r="A655" s="23"/>
      <c r="B655" s="23"/>
      <c r="C655" s="23"/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</row>
    <row r="656" spans="1:19">
      <c r="A656" s="23"/>
      <c r="B656" s="23"/>
      <c r="C656" s="23"/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</row>
    <row r="657" spans="1:19">
      <c r="A657" s="23"/>
      <c r="B657" s="23"/>
      <c r="C657" s="23"/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</row>
    <row r="658" spans="1:19">
      <c r="A658" s="23"/>
      <c r="B658" s="23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</row>
    <row r="659" spans="1:19">
      <c r="A659" s="23"/>
      <c r="B659" s="23"/>
      <c r="C659" s="23"/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</row>
    <row r="660" spans="1:19">
      <c r="A660" s="23"/>
      <c r="B660" s="23"/>
      <c r="C660" s="23"/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</row>
    <row r="661" spans="1:19">
      <c r="A661" s="23"/>
      <c r="B661" s="23"/>
      <c r="C661" s="23"/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</row>
    <row r="662" spans="1:19">
      <c r="A662" s="23"/>
      <c r="B662" s="23"/>
      <c r="C662" s="23"/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</row>
    <row r="663" spans="1:19">
      <c r="A663" s="23"/>
      <c r="B663" s="23"/>
      <c r="C663" s="23"/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</row>
    <row r="664" spans="1:19">
      <c r="A664" s="23"/>
      <c r="B664" s="23"/>
      <c r="C664" s="23"/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</row>
    <row r="665" spans="1:19">
      <c r="A665" s="23"/>
      <c r="B665" s="23"/>
      <c r="C665" s="23"/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</row>
    <row r="666" spans="1:19">
      <c r="A666" s="23"/>
      <c r="B666" s="23"/>
      <c r="C666" s="23"/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</row>
    <row r="667" spans="1:19">
      <c r="A667" s="23"/>
      <c r="B667" s="23"/>
      <c r="C667" s="23"/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</row>
    <row r="668" spans="1:19">
      <c r="A668" s="23"/>
      <c r="B668" s="23"/>
      <c r="C668" s="23"/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</row>
    <row r="669" spans="1:19">
      <c r="A669" s="23"/>
      <c r="B669" s="23"/>
      <c r="C669" s="23"/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</row>
    <row r="670" spans="1:19">
      <c r="A670" s="23"/>
      <c r="B670" s="23"/>
      <c r="C670" s="23"/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</row>
    <row r="671" spans="1:19">
      <c r="A671" s="23"/>
      <c r="B671" s="23"/>
      <c r="C671" s="23"/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</row>
    <row r="672" spans="1:19">
      <c r="A672" s="23"/>
      <c r="B672" s="23"/>
      <c r="C672" s="23"/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</row>
    <row r="673" spans="1:19">
      <c r="A673" s="23"/>
      <c r="B673" s="23"/>
      <c r="C673" s="23"/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</row>
    <row r="674" spans="1:19">
      <c r="A674" s="23"/>
      <c r="B674" s="23"/>
      <c r="C674" s="23"/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</row>
    <row r="675" spans="1:19">
      <c r="A675" s="23"/>
      <c r="B675" s="23"/>
      <c r="C675" s="23"/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</row>
    <row r="676" spans="1:19">
      <c r="A676" s="23"/>
      <c r="B676" s="23"/>
      <c r="C676" s="23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</row>
    <row r="677" spans="1:19">
      <c r="A677" s="23"/>
      <c r="B677" s="23"/>
      <c r="C677" s="23"/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</row>
    <row r="678" spans="1:19">
      <c r="A678" s="23"/>
      <c r="B678" s="23"/>
      <c r="C678" s="23"/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</row>
    <row r="679" spans="1:19">
      <c r="A679" s="23"/>
      <c r="B679" s="23"/>
      <c r="C679" s="23"/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</row>
    <row r="680" spans="1:19">
      <c r="A680" s="23"/>
      <c r="B680" s="23"/>
      <c r="C680" s="23"/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</row>
    <row r="681" spans="1:19">
      <c r="A681" s="23"/>
      <c r="B681" s="23"/>
      <c r="C681" s="23"/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</row>
    <row r="682" spans="1:19">
      <c r="A682" s="23"/>
      <c r="B682" s="23"/>
      <c r="C682" s="23"/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</row>
    <row r="683" spans="1:19">
      <c r="A683" s="23"/>
      <c r="B683" s="23"/>
      <c r="C683" s="23"/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</row>
    <row r="684" spans="1:19">
      <c r="A684" s="23"/>
      <c r="B684" s="23"/>
      <c r="C684" s="23"/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</row>
    <row r="685" spans="1:19">
      <c r="A685" s="23"/>
      <c r="B685" s="23"/>
      <c r="C685" s="23"/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</row>
    <row r="686" spans="1:19">
      <c r="A686" s="23"/>
      <c r="B686" s="23"/>
      <c r="C686" s="23"/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</row>
    <row r="687" spans="1:19">
      <c r="A687" s="23"/>
      <c r="B687" s="23"/>
      <c r="C687" s="23"/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</row>
    <row r="688" spans="1:19">
      <c r="A688" s="23"/>
      <c r="B688" s="23"/>
      <c r="C688" s="23"/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</row>
    <row r="689" spans="1:19">
      <c r="A689" s="23"/>
      <c r="B689" s="23"/>
      <c r="C689" s="23"/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</row>
    <row r="690" spans="1:19">
      <c r="A690" s="23"/>
      <c r="B690" s="23"/>
      <c r="C690" s="23"/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</row>
    <row r="691" spans="1:19">
      <c r="A691" s="23"/>
      <c r="B691" s="23"/>
      <c r="C691" s="23"/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</row>
    <row r="692" spans="1:19">
      <c r="A692" s="23"/>
      <c r="B692" s="23"/>
      <c r="C692" s="23"/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</row>
    <row r="693" spans="1:19">
      <c r="A693" s="23"/>
      <c r="B693" s="23"/>
      <c r="C693" s="23"/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</row>
    <row r="694" spans="1:19">
      <c r="A694" s="23"/>
      <c r="B694" s="23"/>
      <c r="C694" s="23"/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</row>
    <row r="695" spans="1:19">
      <c r="A695" s="23"/>
      <c r="B695" s="23"/>
      <c r="C695" s="23"/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</row>
    <row r="696" spans="1:19">
      <c r="A696" s="23"/>
      <c r="B696" s="23"/>
      <c r="C696" s="23"/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</row>
    <row r="697" spans="1:19">
      <c r="A697" s="23"/>
      <c r="B697" s="23"/>
      <c r="C697" s="23"/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</row>
    <row r="698" spans="1:19">
      <c r="A698" s="23"/>
      <c r="B698" s="23"/>
      <c r="C698" s="23"/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</row>
    <row r="699" spans="1:19">
      <c r="A699" s="23"/>
      <c r="B699" s="23"/>
      <c r="C699" s="23"/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</row>
    <row r="700" spans="1:19">
      <c r="A700" s="23"/>
      <c r="B700" s="23"/>
      <c r="C700" s="23"/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</row>
    <row r="701" spans="1:19">
      <c r="A701" s="23"/>
      <c r="B701" s="23"/>
      <c r="C701" s="23"/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</row>
    <row r="702" spans="1:19">
      <c r="A702" s="23"/>
      <c r="B702" s="23"/>
      <c r="C702" s="23"/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</row>
    <row r="703" spans="1:19">
      <c r="A703" s="23"/>
      <c r="B703" s="23"/>
      <c r="C703" s="23"/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</row>
    <row r="704" spans="1:19">
      <c r="A704" s="23"/>
      <c r="B704" s="23"/>
      <c r="C704" s="23"/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</row>
    <row r="705" spans="1:19">
      <c r="A705" s="23"/>
      <c r="B705" s="23"/>
      <c r="C705" s="23"/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</row>
    <row r="706" spans="1:19">
      <c r="A706" s="23"/>
      <c r="B706" s="23"/>
      <c r="C706" s="23"/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</row>
    <row r="707" spans="1:19">
      <c r="A707" s="23"/>
      <c r="B707" s="23"/>
      <c r="C707" s="23"/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</row>
    <row r="708" spans="1:19">
      <c r="A708" s="23"/>
      <c r="B708" s="23"/>
      <c r="C708" s="23"/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</row>
    <row r="709" spans="1:19">
      <c r="A709" s="23"/>
      <c r="B709" s="23"/>
      <c r="C709" s="23"/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</row>
    <row r="710" spans="1:19">
      <c r="A710" s="23"/>
      <c r="B710" s="23"/>
      <c r="C710" s="23"/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</row>
    <row r="711" spans="1:19">
      <c r="A711" s="23"/>
      <c r="B711" s="23"/>
      <c r="C711" s="23"/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</row>
    <row r="712" spans="1:19">
      <c r="A712" s="23"/>
      <c r="B712" s="23"/>
      <c r="C712" s="23"/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</row>
    <row r="713" spans="1:19">
      <c r="A713" s="23"/>
      <c r="B713" s="23"/>
      <c r="C713" s="23"/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</row>
    <row r="714" spans="1:19">
      <c r="A714" s="23"/>
      <c r="B714" s="23"/>
      <c r="C714" s="23"/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</row>
    <row r="715" spans="1:19">
      <c r="A715" s="23"/>
      <c r="B715" s="23"/>
      <c r="C715" s="23"/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</row>
    <row r="716" spans="1:19">
      <c r="A716" s="23"/>
      <c r="B716" s="23"/>
      <c r="C716" s="23"/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</row>
    <row r="717" spans="1:19">
      <c r="A717" s="23"/>
      <c r="B717" s="23"/>
      <c r="C717" s="23"/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</row>
    <row r="718" spans="1:19">
      <c r="A718" s="23"/>
      <c r="B718" s="23"/>
      <c r="C718" s="23"/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</row>
    <row r="719" spans="1:19">
      <c r="A719" s="23"/>
      <c r="B719" s="23"/>
      <c r="C719" s="23"/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</row>
    <row r="720" spans="1:19">
      <c r="A720" s="23"/>
      <c r="B720" s="23"/>
      <c r="C720" s="23"/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</row>
    <row r="721" spans="1:19">
      <c r="A721" s="23"/>
      <c r="B721" s="23"/>
      <c r="C721" s="23"/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</row>
    <row r="722" spans="1:19">
      <c r="A722" s="23"/>
      <c r="B722" s="23"/>
      <c r="C722" s="23"/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</row>
    <row r="723" spans="1:19">
      <c r="A723" s="23"/>
      <c r="B723" s="23"/>
      <c r="C723" s="23"/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</row>
    <row r="724" spans="1:19">
      <c r="A724" s="23"/>
      <c r="B724" s="23"/>
      <c r="C724" s="23"/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</row>
    <row r="725" spans="1:19">
      <c r="A725" s="23"/>
      <c r="B725" s="23"/>
      <c r="C725" s="23"/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</row>
    <row r="726" spans="1:19">
      <c r="A726" s="23"/>
      <c r="B726" s="23"/>
      <c r="C726" s="23"/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</row>
    <row r="727" spans="1:19">
      <c r="A727" s="23"/>
      <c r="B727" s="23"/>
      <c r="C727" s="23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</row>
    <row r="728" spans="1:19">
      <c r="A728" s="23"/>
      <c r="B728" s="23"/>
      <c r="C728" s="23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</row>
    <row r="729" spans="1:19">
      <c r="A729" s="23"/>
      <c r="B729" s="23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</row>
    <row r="730" spans="1:19">
      <c r="A730" s="23"/>
      <c r="B730" s="23"/>
      <c r="C730" s="23"/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</row>
    <row r="731" spans="1:19">
      <c r="A731" s="23"/>
      <c r="B731" s="23"/>
      <c r="C731" s="23"/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</row>
    <row r="732" spans="1:19">
      <c r="A732" s="23"/>
      <c r="B732" s="23"/>
      <c r="C732" s="23"/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</row>
    <row r="733" spans="1:19">
      <c r="A733" s="23"/>
      <c r="B733" s="23"/>
      <c r="C733" s="23"/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</row>
    <row r="734" spans="1:19">
      <c r="A734" s="23"/>
      <c r="B734" s="23"/>
      <c r="C734" s="23"/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</row>
    <row r="735" spans="1:19">
      <c r="A735" s="23"/>
      <c r="B735" s="23"/>
      <c r="C735" s="23"/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</row>
    <row r="736" spans="1:19">
      <c r="A736" s="23"/>
      <c r="B736" s="23"/>
      <c r="C736" s="23"/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</row>
    <row r="737" spans="1:19">
      <c r="A737" s="23"/>
      <c r="B737" s="23"/>
      <c r="C737" s="23"/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</row>
    <row r="738" spans="1:19">
      <c r="A738" s="23"/>
      <c r="B738" s="23"/>
      <c r="C738" s="23"/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</row>
    <row r="739" spans="1:19">
      <c r="A739" s="23"/>
      <c r="B739" s="23"/>
      <c r="C739" s="23"/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</row>
    <row r="740" spans="1:19">
      <c r="A740" s="23"/>
      <c r="B740" s="23"/>
      <c r="C740" s="23"/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</row>
    <row r="741" spans="1:19">
      <c r="A741" s="23"/>
      <c r="B741" s="23"/>
      <c r="C741" s="23"/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</row>
    <row r="742" spans="1:19">
      <c r="A742" s="23"/>
      <c r="B742" s="23"/>
      <c r="C742" s="23"/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</row>
    <row r="743" spans="1:19">
      <c r="A743" s="23"/>
      <c r="B743" s="23"/>
      <c r="C743" s="23"/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</row>
    <row r="744" spans="1:19">
      <c r="A744" s="23"/>
      <c r="B744" s="23"/>
      <c r="C744" s="23"/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</row>
    <row r="745" spans="1:19">
      <c r="A745" s="23"/>
      <c r="B745" s="23"/>
      <c r="C745" s="23"/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</row>
    <row r="746" spans="1:19">
      <c r="A746" s="23"/>
      <c r="B746" s="23"/>
      <c r="C746" s="23"/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</row>
    <row r="747" spans="1:19">
      <c r="A747" s="23"/>
      <c r="B747" s="23"/>
      <c r="C747" s="23"/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</row>
    <row r="748" spans="1:19">
      <c r="A748" s="23"/>
      <c r="B748" s="23"/>
      <c r="C748" s="23"/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</row>
    <row r="749" spans="1:19">
      <c r="A749" s="23"/>
      <c r="B749" s="23"/>
      <c r="C749" s="23"/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</row>
    <row r="750" spans="1:19">
      <c r="A750" s="23"/>
      <c r="B750" s="23"/>
      <c r="C750" s="23"/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</row>
    <row r="751" spans="1:19">
      <c r="A751" s="23"/>
      <c r="B751" s="23"/>
      <c r="C751" s="23"/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</row>
    <row r="752" spans="1:19">
      <c r="A752" s="23"/>
      <c r="B752" s="23"/>
      <c r="C752" s="23"/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</row>
    <row r="753" spans="1:19">
      <c r="A753" s="23"/>
      <c r="B753" s="23"/>
      <c r="C753" s="23"/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</row>
    <row r="754" spans="1:19">
      <c r="A754" s="23"/>
      <c r="B754" s="23"/>
      <c r="C754" s="23"/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</row>
    <row r="755" spans="1:19">
      <c r="A755" s="23"/>
      <c r="B755" s="23"/>
      <c r="C755" s="23"/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</row>
    <row r="756" spans="1:19">
      <c r="A756" s="23"/>
      <c r="B756" s="23"/>
      <c r="C756" s="23"/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</row>
    <row r="757" spans="1:19">
      <c r="A757" s="23"/>
      <c r="B757" s="23"/>
      <c r="C757" s="23"/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</row>
    <row r="758" spans="1:19">
      <c r="A758" s="23"/>
      <c r="B758" s="23"/>
      <c r="C758" s="23"/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</row>
    <row r="759" spans="1:19">
      <c r="A759" s="23"/>
      <c r="B759" s="23"/>
      <c r="C759" s="23"/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</row>
    <row r="760" spans="1:19">
      <c r="A760" s="23"/>
      <c r="B760" s="23"/>
      <c r="C760" s="23"/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</row>
    <row r="761" spans="1:19">
      <c r="A761" s="23"/>
      <c r="B761" s="23"/>
      <c r="C761" s="23"/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</row>
    <row r="762" spans="1:19">
      <c r="A762" s="23"/>
      <c r="B762" s="23"/>
      <c r="C762" s="23"/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</row>
    <row r="763" spans="1:19">
      <c r="A763" s="23"/>
      <c r="B763" s="23"/>
      <c r="C763" s="23"/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</row>
    <row r="764" spans="1:19">
      <c r="A764" s="23"/>
      <c r="B764" s="23"/>
      <c r="C764" s="23"/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</row>
    <row r="765" spans="1:19">
      <c r="A765" s="23"/>
      <c r="B765" s="23"/>
      <c r="C765" s="23"/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</row>
    <row r="766" spans="1:19">
      <c r="A766" s="23"/>
      <c r="B766" s="23"/>
      <c r="C766" s="23"/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</row>
    <row r="767" spans="1:19">
      <c r="A767" s="23"/>
      <c r="B767" s="23"/>
      <c r="C767" s="23"/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</row>
    <row r="768" spans="1:19">
      <c r="A768" s="23"/>
      <c r="B768" s="23"/>
      <c r="C768" s="23"/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</row>
    <row r="769" spans="1:19">
      <c r="A769" s="23"/>
      <c r="B769" s="23"/>
      <c r="C769" s="23"/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</row>
    <row r="770" spans="1:19">
      <c r="A770" s="23"/>
      <c r="B770" s="23"/>
      <c r="C770" s="23"/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</row>
    <row r="771" spans="1:19">
      <c r="A771" s="23"/>
      <c r="B771" s="23"/>
      <c r="C771" s="23"/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</row>
    <row r="772" spans="1:19">
      <c r="A772" s="23"/>
      <c r="B772" s="23"/>
      <c r="C772" s="23"/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</row>
    <row r="773" spans="1:19">
      <c r="A773" s="23"/>
      <c r="B773" s="23"/>
      <c r="C773" s="23"/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</row>
    <row r="774" spans="1:19">
      <c r="A774" s="23"/>
      <c r="B774" s="23"/>
      <c r="C774" s="23"/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</row>
    <row r="775" spans="1:19">
      <c r="A775" s="23"/>
      <c r="B775" s="23"/>
      <c r="C775" s="23"/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</row>
    <row r="776" spans="1:19">
      <c r="A776" s="23"/>
      <c r="B776" s="23"/>
      <c r="C776" s="23"/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</row>
    <row r="777" spans="1:19">
      <c r="A777" s="23"/>
      <c r="B777" s="23"/>
      <c r="C777" s="23"/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</row>
    <row r="778" spans="1:19">
      <c r="A778" s="23"/>
      <c r="B778" s="23"/>
      <c r="C778" s="23"/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</row>
    <row r="779" spans="1:19">
      <c r="A779" s="23"/>
      <c r="B779" s="23"/>
      <c r="C779" s="23"/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</row>
    <row r="780" spans="1:19">
      <c r="A780" s="23"/>
      <c r="B780" s="23"/>
      <c r="C780" s="23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</row>
    <row r="781" spans="1:19">
      <c r="A781" s="23"/>
      <c r="B781" s="23"/>
      <c r="C781" s="23"/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</row>
    <row r="782" spans="1:19">
      <c r="A782" s="23"/>
      <c r="B782" s="23"/>
      <c r="C782" s="23"/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</row>
    <row r="783" spans="1:19">
      <c r="A783" s="23"/>
      <c r="B783" s="23"/>
      <c r="C783" s="23"/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</row>
    <row r="784" spans="1:19">
      <c r="A784" s="23"/>
      <c r="B784" s="23"/>
      <c r="C784" s="23"/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</row>
    <row r="785" spans="1:19">
      <c r="A785" s="23"/>
      <c r="B785" s="23"/>
      <c r="C785" s="23"/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</row>
    <row r="786" spans="1:19">
      <c r="A786" s="23"/>
      <c r="B786" s="23"/>
      <c r="C786" s="23"/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</row>
    <row r="787" spans="1:19">
      <c r="A787" s="23"/>
      <c r="B787" s="23"/>
      <c r="C787" s="23"/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</row>
    <row r="788" spans="1:19">
      <c r="A788" s="23"/>
      <c r="B788" s="23"/>
      <c r="C788" s="23"/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</row>
    <row r="789" spans="1:19">
      <c r="A789" s="23"/>
      <c r="B789" s="23"/>
      <c r="C789" s="23"/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</row>
    <row r="790" spans="1:19">
      <c r="A790" s="23"/>
      <c r="B790" s="23"/>
      <c r="C790" s="23"/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</row>
    <row r="791" spans="1:19">
      <c r="A791" s="23"/>
      <c r="B791" s="23"/>
      <c r="C791" s="23"/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</row>
    <row r="792" spans="1:19">
      <c r="A792" s="23"/>
      <c r="B792" s="23"/>
      <c r="C792" s="23"/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</row>
    <row r="793" spans="1:19">
      <c r="A793" s="23"/>
      <c r="B793" s="23"/>
      <c r="C793" s="23"/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</row>
    <row r="794" spans="1:19">
      <c r="A794" s="23"/>
      <c r="B794" s="23"/>
      <c r="C794" s="23"/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</row>
    <row r="795" spans="1:19">
      <c r="A795" s="23"/>
      <c r="B795" s="23"/>
      <c r="C795" s="23"/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</row>
    <row r="796" spans="1:19">
      <c r="A796" s="23"/>
      <c r="B796" s="23"/>
      <c r="C796" s="23"/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</row>
    <row r="797" spans="1:19">
      <c r="A797" s="23"/>
      <c r="B797" s="23"/>
      <c r="C797" s="23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</row>
    <row r="798" spans="1:19">
      <c r="A798" s="23"/>
      <c r="B798" s="23"/>
      <c r="C798" s="23"/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</row>
    <row r="799" spans="1:19">
      <c r="A799" s="23"/>
      <c r="B799" s="23"/>
      <c r="C799" s="23"/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</row>
    <row r="800" spans="1:19">
      <c r="A800" s="23"/>
      <c r="B800" s="23"/>
      <c r="C800" s="23"/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</row>
    <row r="801" spans="1:19">
      <c r="A801" s="23"/>
      <c r="B801" s="23"/>
      <c r="C801" s="23"/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</row>
    <row r="802" spans="1:19">
      <c r="A802" s="23"/>
      <c r="B802" s="23"/>
      <c r="C802" s="23"/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</row>
    <row r="803" spans="1:19">
      <c r="A803" s="23"/>
      <c r="B803" s="23"/>
      <c r="C803" s="23"/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</row>
    <row r="804" spans="1:19">
      <c r="A804" s="23"/>
      <c r="B804" s="23"/>
      <c r="C804" s="23"/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</row>
    <row r="805" spans="1:19">
      <c r="A805" s="23"/>
      <c r="B805" s="23"/>
      <c r="C805" s="23"/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</row>
    <row r="806" spans="1:19">
      <c r="A806" s="23"/>
      <c r="B806" s="23"/>
      <c r="C806" s="23"/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</row>
    <row r="807" spans="1:19">
      <c r="A807" s="23"/>
      <c r="B807" s="23"/>
      <c r="C807" s="23"/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</row>
    <row r="808" spans="1:19">
      <c r="A808" s="23"/>
      <c r="B808" s="23"/>
      <c r="C808" s="23"/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</row>
    <row r="809" spans="1:19">
      <c r="A809" s="23"/>
      <c r="B809" s="23"/>
      <c r="C809" s="23"/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</row>
    <row r="810" spans="1:19">
      <c r="A810" s="23"/>
      <c r="B810" s="23"/>
      <c r="C810" s="23"/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</row>
    <row r="811" spans="1:19">
      <c r="A811" s="23"/>
      <c r="B811" s="23"/>
      <c r="C811" s="23"/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</row>
    <row r="812" spans="1:19">
      <c r="A812" s="23"/>
      <c r="B812" s="23"/>
      <c r="C812" s="23"/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</row>
    <row r="813" spans="1:19">
      <c r="A813" s="23"/>
      <c r="B813" s="23"/>
      <c r="C813" s="23"/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</row>
    <row r="814" spans="1:19">
      <c r="A814" s="23"/>
      <c r="B814" s="23"/>
      <c r="C814" s="23"/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</row>
    <row r="815" spans="1:19">
      <c r="A815" s="23"/>
      <c r="B815" s="23"/>
      <c r="C815" s="23"/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</row>
    <row r="816" spans="1:19">
      <c r="A816" s="23"/>
      <c r="B816" s="23"/>
      <c r="C816" s="23"/>
      <c r="D816" s="23"/>
      <c r="E816" s="23"/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</row>
    <row r="817" spans="1:19">
      <c r="A817" s="23"/>
      <c r="B817" s="23"/>
      <c r="C817" s="23"/>
      <c r="D817" s="23"/>
      <c r="E817" s="23"/>
      <c r="F817" s="23"/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</row>
    <row r="818" spans="1:19">
      <c r="A818" s="23"/>
      <c r="B818" s="23"/>
      <c r="C818" s="23"/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</row>
    <row r="819" spans="1:19">
      <c r="A819" s="23"/>
      <c r="B819" s="23"/>
      <c r="C819" s="23"/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</row>
    <row r="820" spans="1:19">
      <c r="A820" s="23"/>
      <c r="B820" s="23"/>
      <c r="C820" s="23"/>
      <c r="D820" s="23"/>
      <c r="E820" s="23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</row>
    <row r="821" spans="1:19">
      <c r="A821" s="23"/>
      <c r="B821" s="23"/>
      <c r="C821" s="23"/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</row>
    <row r="822" spans="1:19">
      <c r="A822" s="23"/>
      <c r="B822" s="23"/>
      <c r="C822" s="23"/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</row>
    <row r="823" spans="1:19">
      <c r="A823" s="23"/>
      <c r="B823" s="23"/>
      <c r="C823" s="23"/>
      <c r="D823" s="23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</row>
    <row r="824" spans="1:19">
      <c r="A824" s="23"/>
      <c r="B824" s="23"/>
      <c r="C824" s="23"/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</row>
    <row r="825" spans="1:19">
      <c r="A825" s="23"/>
      <c r="B825" s="23"/>
      <c r="C825" s="23"/>
      <c r="D825" s="23"/>
      <c r="E825" s="23"/>
      <c r="F825" s="23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</row>
    <row r="826" spans="1:19">
      <c r="A826" s="23"/>
      <c r="B826" s="23"/>
      <c r="C826" s="23"/>
      <c r="D826" s="23"/>
      <c r="E826" s="23"/>
      <c r="F826" s="23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</row>
    <row r="827" spans="1:19">
      <c r="A827" s="23"/>
      <c r="B827" s="23"/>
      <c r="C827" s="23"/>
      <c r="D827" s="23"/>
      <c r="E827" s="23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</row>
    <row r="828" spans="1:19">
      <c r="A828" s="23"/>
      <c r="B828" s="23"/>
      <c r="C828" s="23"/>
      <c r="D828" s="23"/>
      <c r="E828" s="23"/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</row>
    <row r="829" spans="1:19">
      <c r="A829" s="23"/>
      <c r="B829" s="23"/>
      <c r="C829" s="23"/>
      <c r="D829" s="23"/>
      <c r="E829" s="23"/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</row>
    <row r="830" spans="1:19">
      <c r="A830" s="23"/>
      <c r="B830" s="23"/>
      <c r="C830" s="23"/>
      <c r="D830" s="23"/>
      <c r="E830" s="23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</row>
    <row r="831" spans="1:19">
      <c r="A831" s="23"/>
      <c r="B831" s="23"/>
      <c r="C831" s="23"/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</row>
    <row r="832" spans="1:19">
      <c r="A832" s="23"/>
      <c r="B832" s="23"/>
      <c r="C832" s="23"/>
      <c r="D832" s="23"/>
      <c r="E832" s="23"/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</row>
    <row r="833" spans="1:19">
      <c r="A833" s="23"/>
      <c r="B833" s="23"/>
      <c r="C833" s="23"/>
      <c r="D833" s="23"/>
      <c r="E833" s="23"/>
      <c r="F833" s="23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</row>
    <row r="834" spans="1:19">
      <c r="A834" s="23"/>
      <c r="B834" s="23"/>
      <c r="C834" s="23"/>
      <c r="D834" s="23"/>
      <c r="E834" s="23"/>
      <c r="F834" s="23"/>
      <c r="G834" s="23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</row>
    <row r="835" spans="1:19">
      <c r="A835" s="23"/>
      <c r="B835" s="23"/>
      <c r="C835" s="23"/>
      <c r="D835" s="23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</row>
    <row r="836" spans="1:19">
      <c r="A836" s="23"/>
      <c r="B836" s="23"/>
      <c r="C836" s="23"/>
      <c r="D836" s="23"/>
      <c r="E836" s="23"/>
      <c r="F836" s="23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</row>
    <row r="837" spans="1:19">
      <c r="A837" s="23"/>
      <c r="B837" s="23"/>
      <c r="C837" s="23"/>
      <c r="D837" s="23"/>
      <c r="E837" s="23"/>
      <c r="F837" s="23"/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</row>
    <row r="838" spans="1:19">
      <c r="A838" s="23"/>
      <c r="B838" s="23"/>
      <c r="C838" s="23"/>
      <c r="D838" s="23"/>
      <c r="E838" s="23"/>
      <c r="F838" s="23"/>
      <c r="G838" s="23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</row>
    <row r="839" spans="1:19">
      <c r="A839" s="23"/>
      <c r="B839" s="23"/>
      <c r="C839" s="23"/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</row>
    <row r="840" spans="1:19">
      <c r="A840" s="23"/>
      <c r="B840" s="23"/>
      <c r="C840" s="23"/>
      <c r="D840" s="23"/>
      <c r="E840" s="23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</row>
    <row r="841" spans="1:19">
      <c r="A841" s="23"/>
      <c r="B841" s="23"/>
      <c r="C841" s="23"/>
      <c r="D841" s="23"/>
      <c r="E841" s="23"/>
      <c r="F841" s="23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</row>
    <row r="842" spans="1:19">
      <c r="A842" s="23"/>
      <c r="B842" s="23"/>
      <c r="C842" s="23"/>
      <c r="D842" s="23"/>
      <c r="E842" s="23"/>
      <c r="F842" s="23"/>
      <c r="G842" s="23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</row>
    <row r="843" spans="1:19">
      <c r="A843" s="23"/>
      <c r="B843" s="23"/>
      <c r="C843" s="23"/>
      <c r="D843" s="23"/>
      <c r="E843" s="23"/>
      <c r="F843" s="23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</row>
    <row r="844" spans="1:19">
      <c r="A844" s="23"/>
      <c r="B844" s="23"/>
      <c r="C844" s="23"/>
      <c r="D844" s="23"/>
      <c r="E844" s="23"/>
      <c r="F844" s="23"/>
      <c r="G844" s="23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</row>
    <row r="845" spans="1:19">
      <c r="A845" s="23"/>
      <c r="B845" s="23"/>
      <c r="C845" s="23"/>
      <c r="D845" s="23"/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</row>
    <row r="846" spans="1:19">
      <c r="A846" s="23"/>
      <c r="B846" s="23"/>
      <c r="C846" s="23"/>
      <c r="D846" s="23"/>
      <c r="E846" s="23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</row>
    <row r="847" spans="1:19">
      <c r="A847" s="23"/>
      <c r="B847" s="23"/>
      <c r="C847" s="23"/>
      <c r="D847" s="23"/>
      <c r="E847" s="23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</row>
    <row r="848" spans="1:19">
      <c r="A848" s="23"/>
      <c r="B848" s="23"/>
      <c r="C848" s="23"/>
      <c r="D848" s="23"/>
      <c r="E848" s="23"/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</row>
    <row r="849" spans="1:19">
      <c r="A849" s="23"/>
      <c r="B849" s="23"/>
      <c r="C849" s="23"/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</row>
    <row r="850" spans="1:19">
      <c r="A850" s="23"/>
      <c r="B850" s="23"/>
      <c r="C850" s="23"/>
      <c r="D850" s="23"/>
      <c r="E850" s="23"/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</row>
    <row r="851" spans="1:19">
      <c r="A851" s="23"/>
      <c r="B851" s="23"/>
      <c r="C851" s="23"/>
      <c r="D851" s="23"/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</row>
    <row r="852" spans="1:19">
      <c r="A852" s="23"/>
      <c r="B852" s="23"/>
      <c r="C852" s="23"/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</row>
    <row r="853" spans="1:19">
      <c r="A853" s="23"/>
      <c r="B853" s="23"/>
      <c r="C853" s="23"/>
      <c r="D853" s="23"/>
      <c r="E853" s="23"/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</row>
    <row r="854" spans="1:19">
      <c r="A854" s="23"/>
      <c r="B854" s="23"/>
      <c r="C854" s="23"/>
      <c r="D854" s="23"/>
      <c r="E854" s="23"/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</row>
    <row r="855" spans="1:19">
      <c r="A855" s="23"/>
      <c r="B855" s="23"/>
      <c r="C855" s="23"/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</row>
    <row r="856" spans="1:19">
      <c r="A856" s="23"/>
      <c r="B856" s="23"/>
      <c r="C856" s="23"/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</row>
    <row r="857" spans="1:19">
      <c r="A857" s="23"/>
      <c r="B857" s="23"/>
      <c r="C857" s="23"/>
      <c r="D857" s="23"/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</row>
    <row r="858" spans="1:19">
      <c r="A858" s="23"/>
      <c r="B858" s="23"/>
      <c r="C858" s="23"/>
      <c r="D858" s="23"/>
      <c r="E858" s="23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</row>
    <row r="859" spans="1:19">
      <c r="A859" s="23"/>
      <c r="B859" s="23"/>
      <c r="C859" s="23"/>
      <c r="D859" s="23"/>
      <c r="E859" s="23"/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</row>
    <row r="860" spans="1:19">
      <c r="A860" s="23"/>
      <c r="B860" s="23"/>
      <c r="C860" s="23"/>
      <c r="D860" s="23"/>
      <c r="E860" s="23"/>
      <c r="F860" s="23"/>
      <c r="G860" s="23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</row>
    <row r="861" spans="1:19">
      <c r="A861" s="23"/>
      <c r="B861" s="23"/>
      <c r="C861" s="23"/>
      <c r="D861" s="23"/>
      <c r="E861" s="23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</row>
    <row r="862" spans="1:19">
      <c r="A862" s="23"/>
      <c r="B862" s="23"/>
      <c r="C862" s="23"/>
      <c r="D862" s="23"/>
      <c r="E862" s="23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</row>
    <row r="863" spans="1:19">
      <c r="A863" s="23"/>
      <c r="B863" s="23"/>
      <c r="C863" s="23"/>
      <c r="D863" s="23"/>
      <c r="E863" s="23"/>
      <c r="F863" s="23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</row>
    <row r="864" spans="1:19">
      <c r="A864" s="23"/>
      <c r="B864" s="23"/>
      <c r="C864" s="23"/>
      <c r="D864" s="23"/>
      <c r="E864" s="23"/>
      <c r="F864" s="23"/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</row>
    <row r="865" spans="1:19">
      <c r="A865" s="23"/>
      <c r="B865" s="23"/>
      <c r="C865" s="23"/>
      <c r="D865" s="23"/>
      <c r="E865" s="23"/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</row>
    <row r="866" spans="1:19">
      <c r="A866" s="23"/>
      <c r="B866" s="23"/>
      <c r="C866" s="23"/>
      <c r="D866" s="23"/>
      <c r="E866" s="23"/>
      <c r="F866" s="23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</row>
    <row r="867" spans="1:19">
      <c r="A867" s="23"/>
      <c r="B867" s="23"/>
      <c r="C867" s="23"/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</row>
    <row r="868" spans="1:19">
      <c r="A868" s="23"/>
      <c r="B868" s="23"/>
      <c r="C868" s="23"/>
      <c r="D868" s="23"/>
      <c r="E868" s="23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</row>
    <row r="869" spans="1:19">
      <c r="A869" s="23"/>
      <c r="B869" s="23"/>
      <c r="C869" s="23"/>
      <c r="D869" s="23"/>
      <c r="E869" s="23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</row>
    <row r="870" spans="1:19">
      <c r="A870" s="23"/>
      <c r="B870" s="23"/>
      <c r="C870" s="23"/>
      <c r="D870" s="23"/>
      <c r="E870" s="23"/>
      <c r="F870" s="23"/>
      <c r="G870" s="23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</row>
    <row r="871" spans="1:19">
      <c r="A871" s="23"/>
      <c r="B871" s="23"/>
      <c r="C871" s="23"/>
      <c r="D871" s="23"/>
      <c r="E871" s="23"/>
      <c r="F871" s="23"/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</row>
    <row r="872" spans="1:19">
      <c r="A872" s="23"/>
      <c r="B872" s="23"/>
      <c r="C872" s="23"/>
      <c r="D872" s="23"/>
      <c r="E872" s="23"/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</row>
    <row r="873" spans="1:19">
      <c r="A873" s="23"/>
      <c r="B873" s="23"/>
      <c r="C873" s="23"/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</row>
    <row r="874" spans="1:19">
      <c r="A874" s="23"/>
      <c r="B874" s="23"/>
      <c r="C874" s="23"/>
      <c r="D874" s="23"/>
      <c r="E874" s="23"/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</row>
    <row r="875" spans="1:19">
      <c r="A875" s="23"/>
      <c r="B875" s="23"/>
      <c r="C875" s="23"/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</row>
    <row r="876" spans="1:19">
      <c r="A876" s="23"/>
      <c r="B876" s="23"/>
      <c r="C876" s="23"/>
      <c r="D876" s="23"/>
      <c r="E876" s="23"/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</row>
    <row r="877" spans="1:19">
      <c r="A877" s="23"/>
      <c r="B877" s="23"/>
      <c r="C877" s="23"/>
      <c r="D877" s="23"/>
      <c r="E877" s="23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</row>
    <row r="878" spans="1:19">
      <c r="A878" s="23"/>
      <c r="B878" s="23"/>
      <c r="C878" s="23"/>
      <c r="D878" s="23"/>
      <c r="E878" s="23"/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</row>
    <row r="879" spans="1:19">
      <c r="A879" s="23"/>
      <c r="B879" s="23"/>
      <c r="C879" s="23"/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</row>
    <row r="880" spans="1:19">
      <c r="A880" s="23"/>
      <c r="B880" s="23"/>
      <c r="C880" s="23"/>
      <c r="D880" s="23"/>
      <c r="E880" s="23"/>
      <c r="F880" s="23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</row>
    <row r="881" spans="1:19">
      <c r="A881" s="23"/>
      <c r="B881" s="23"/>
      <c r="C881" s="23"/>
      <c r="D881" s="23"/>
      <c r="E881" s="23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</row>
    <row r="882" spans="1:19">
      <c r="A882" s="23"/>
      <c r="B882" s="23"/>
      <c r="C882" s="23"/>
      <c r="D882" s="23"/>
      <c r="E882" s="23"/>
      <c r="F882" s="23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</row>
    <row r="883" spans="1:19">
      <c r="A883" s="23"/>
      <c r="B883" s="23"/>
      <c r="C883" s="23"/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</row>
    <row r="884" spans="1:19">
      <c r="A884" s="23"/>
      <c r="B884" s="23"/>
      <c r="C884" s="23"/>
      <c r="D884" s="23"/>
      <c r="E884" s="23"/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</row>
    <row r="885" spans="1:19">
      <c r="A885" s="23"/>
      <c r="B885" s="23"/>
      <c r="C885" s="23"/>
      <c r="D885" s="23"/>
      <c r="E885" s="23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</row>
    <row r="886" spans="1:19">
      <c r="A886" s="23"/>
      <c r="B886" s="23"/>
      <c r="C886" s="23"/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</row>
    <row r="887" spans="1:19">
      <c r="A887" s="23"/>
      <c r="B887" s="23"/>
      <c r="C887" s="23"/>
      <c r="D887" s="23"/>
      <c r="E887" s="23"/>
      <c r="F887" s="23"/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</row>
    <row r="888" spans="1:19">
      <c r="A888" s="23"/>
      <c r="B888" s="23"/>
      <c r="C888" s="23"/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</row>
    <row r="889" spans="1:19">
      <c r="A889" s="23"/>
      <c r="B889" s="23"/>
      <c r="C889" s="23"/>
      <c r="D889" s="23"/>
      <c r="E889" s="23"/>
      <c r="F889" s="23"/>
      <c r="G889" s="23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</row>
    <row r="890" spans="1:19">
      <c r="A890" s="23"/>
      <c r="B890" s="23"/>
      <c r="C890" s="23"/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</row>
    <row r="891" spans="1:19">
      <c r="A891" s="23"/>
      <c r="B891" s="23"/>
      <c r="C891" s="23"/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</row>
    <row r="892" spans="1:19">
      <c r="A892" s="23"/>
      <c r="B892" s="23"/>
      <c r="C892" s="23"/>
      <c r="D892" s="23"/>
      <c r="E892" s="23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</row>
    <row r="893" spans="1:19">
      <c r="A893" s="23"/>
      <c r="B893" s="23"/>
      <c r="C893" s="23"/>
      <c r="D893" s="23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</row>
    <row r="894" spans="1:19">
      <c r="A894" s="23"/>
      <c r="B894" s="23"/>
      <c r="C894" s="23"/>
      <c r="D894" s="23"/>
      <c r="E894" s="23"/>
      <c r="F894" s="23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</row>
    <row r="895" spans="1:19">
      <c r="A895" s="23"/>
      <c r="B895" s="23"/>
      <c r="C895" s="23"/>
      <c r="D895" s="23"/>
      <c r="E895" s="23"/>
      <c r="F895" s="23"/>
      <c r="G895" s="23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</row>
    <row r="896" spans="1:19">
      <c r="A896" s="23"/>
      <c r="B896" s="23"/>
      <c r="C896" s="23"/>
      <c r="D896" s="23"/>
      <c r="E896" s="23"/>
      <c r="F896" s="23"/>
      <c r="G896" s="23"/>
      <c r="H896" s="23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</row>
    <row r="897" spans="1:19">
      <c r="A897" s="23"/>
      <c r="B897" s="23"/>
      <c r="C897" s="23"/>
      <c r="D897" s="23"/>
      <c r="E897" s="23"/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</row>
    <row r="898" spans="1:19">
      <c r="A898" s="23"/>
      <c r="B898" s="23"/>
      <c r="C898" s="23"/>
      <c r="D898" s="23"/>
      <c r="E898" s="23"/>
      <c r="F898" s="23"/>
      <c r="G898" s="23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</row>
    <row r="899" spans="1:19">
      <c r="A899" s="23"/>
      <c r="B899" s="23"/>
      <c r="C899" s="23"/>
      <c r="D899" s="23"/>
      <c r="E899" s="23"/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</row>
    <row r="900" spans="1:19">
      <c r="A900" s="23"/>
      <c r="B900" s="23"/>
      <c r="C900" s="23"/>
      <c r="D900" s="23"/>
      <c r="E900" s="23"/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</row>
    <row r="901" spans="1:19">
      <c r="A901" s="23"/>
      <c r="B901" s="23"/>
      <c r="C901" s="23"/>
      <c r="D901" s="23"/>
      <c r="E901" s="23"/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</row>
    <row r="902" spans="1:19">
      <c r="A902" s="23"/>
      <c r="B902" s="23"/>
      <c r="C902" s="23"/>
      <c r="D902" s="23"/>
      <c r="E902" s="23"/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</row>
    <row r="903" spans="1:19">
      <c r="A903" s="23"/>
      <c r="B903" s="23"/>
      <c r="C903" s="23"/>
      <c r="D903" s="23"/>
      <c r="E903" s="23"/>
      <c r="F903" s="23"/>
      <c r="G903" s="23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</row>
    <row r="904" spans="1:19">
      <c r="A904" s="23"/>
      <c r="B904" s="23"/>
      <c r="C904" s="23"/>
      <c r="D904" s="23"/>
      <c r="E904" s="23"/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</row>
    <row r="905" spans="1:19">
      <c r="A905" s="23"/>
      <c r="B905" s="23"/>
      <c r="C905" s="23"/>
      <c r="D905" s="23"/>
      <c r="E905" s="23"/>
      <c r="F905" s="23"/>
      <c r="G905" s="23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</row>
    <row r="906" spans="1:19">
      <c r="A906" s="23"/>
      <c r="B906" s="23"/>
      <c r="C906" s="23"/>
      <c r="D906" s="23"/>
      <c r="E906" s="23"/>
      <c r="F906" s="23"/>
      <c r="G906" s="23"/>
      <c r="H906" s="23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</row>
    <row r="907" spans="1:19">
      <c r="A907" s="23"/>
      <c r="B907" s="23"/>
      <c r="C907" s="23"/>
      <c r="D907" s="23"/>
      <c r="E907" s="23"/>
      <c r="F907" s="23"/>
      <c r="G907" s="23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</row>
    <row r="908" spans="1:19">
      <c r="A908" s="23"/>
      <c r="B908" s="23"/>
      <c r="C908" s="23"/>
      <c r="D908" s="23"/>
      <c r="E908" s="23"/>
      <c r="F908" s="23"/>
      <c r="G908" s="23"/>
      <c r="H908" s="23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</row>
    <row r="909" spans="1:19">
      <c r="A909" s="23"/>
      <c r="B909" s="23"/>
      <c r="C909" s="23"/>
      <c r="D909" s="23"/>
      <c r="E909" s="23"/>
      <c r="F909" s="23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</row>
    <row r="910" spans="1:19">
      <c r="A910" s="23"/>
      <c r="B910" s="23"/>
      <c r="C910" s="23"/>
      <c r="D910" s="23"/>
      <c r="E910" s="23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</row>
    <row r="911" spans="1:19">
      <c r="A911" s="23"/>
      <c r="B911" s="23"/>
      <c r="C911" s="23"/>
      <c r="D911" s="23"/>
      <c r="E911" s="23"/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</row>
    <row r="912" spans="1:19">
      <c r="A912" s="23"/>
      <c r="B912" s="23"/>
      <c r="C912" s="23"/>
      <c r="D912" s="23"/>
      <c r="E912" s="23"/>
      <c r="F912" s="23"/>
      <c r="G912" s="23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</row>
    <row r="913" spans="1:19">
      <c r="A913" s="23"/>
      <c r="B913" s="23"/>
      <c r="C913" s="23"/>
      <c r="D913" s="23"/>
      <c r="E913" s="23"/>
      <c r="F913" s="23"/>
      <c r="G913" s="23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</row>
    <row r="914" spans="1:19">
      <c r="A914" s="23"/>
      <c r="B914" s="23"/>
      <c r="C914" s="23"/>
      <c r="D914" s="23"/>
      <c r="E914" s="23"/>
      <c r="F914" s="23"/>
      <c r="G914" s="23"/>
      <c r="H914" s="23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</row>
    <row r="915" spans="1:19">
      <c r="A915" s="23"/>
      <c r="B915" s="23"/>
      <c r="C915" s="23"/>
      <c r="D915" s="23"/>
      <c r="E915" s="23"/>
      <c r="F915" s="23"/>
      <c r="G915" s="23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</row>
    <row r="916" spans="1:19">
      <c r="A916" s="23"/>
      <c r="B916" s="23"/>
      <c r="C916" s="23"/>
      <c r="D916" s="23"/>
      <c r="E916" s="23"/>
      <c r="F916" s="23"/>
      <c r="G916" s="23"/>
      <c r="H916" s="23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</row>
    <row r="917" spans="1:19">
      <c r="A917" s="23"/>
      <c r="B917" s="23"/>
      <c r="C917" s="23"/>
      <c r="D917" s="23"/>
      <c r="E917" s="23"/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</row>
    <row r="918" spans="1:19">
      <c r="A918" s="23"/>
      <c r="B918" s="23"/>
      <c r="C918" s="23"/>
      <c r="D918" s="23"/>
      <c r="E918" s="23"/>
      <c r="F918" s="23"/>
      <c r="G918" s="23"/>
      <c r="H918" s="23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</row>
    <row r="919" spans="1:19">
      <c r="A919" s="23"/>
      <c r="B919" s="23"/>
      <c r="C919" s="23"/>
      <c r="D919" s="23"/>
      <c r="E919" s="23"/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</row>
    <row r="920" spans="1:19">
      <c r="A920" s="23"/>
      <c r="B920" s="23"/>
      <c r="C920" s="23"/>
      <c r="D920" s="23"/>
      <c r="E920" s="23"/>
      <c r="F920" s="23"/>
      <c r="G920" s="23"/>
      <c r="H920" s="23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</row>
    <row r="921" spans="1:19">
      <c r="A921" s="23"/>
      <c r="B921" s="23"/>
      <c r="C921" s="23"/>
      <c r="D921" s="23"/>
      <c r="E921" s="23"/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</row>
    <row r="922" spans="1:19">
      <c r="A922" s="23"/>
      <c r="B922" s="23"/>
      <c r="C922" s="23"/>
      <c r="D922" s="23"/>
      <c r="E922" s="23"/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</row>
    <row r="923" spans="1:19">
      <c r="A923" s="23"/>
      <c r="B923" s="23"/>
      <c r="C923" s="23"/>
      <c r="D923" s="23"/>
      <c r="E923" s="23"/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</row>
    <row r="924" spans="1:19">
      <c r="A924" s="23"/>
      <c r="B924" s="23"/>
      <c r="C924" s="23"/>
      <c r="D924" s="23"/>
      <c r="E924" s="23"/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</row>
    <row r="925" spans="1:19">
      <c r="A925" s="23"/>
      <c r="B925" s="23"/>
      <c r="C925" s="23"/>
      <c r="D925" s="23"/>
      <c r="E925" s="23"/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</row>
    <row r="926" spans="1:19">
      <c r="A926" s="23"/>
      <c r="B926" s="23"/>
      <c r="C926" s="23"/>
      <c r="D926" s="23"/>
      <c r="E926" s="23"/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</row>
    <row r="927" spans="1:19">
      <c r="A927" s="23"/>
      <c r="B927" s="23"/>
      <c r="C927" s="23"/>
      <c r="D927" s="23"/>
      <c r="E927" s="23"/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</row>
    <row r="928" spans="1:19">
      <c r="A928" s="23"/>
      <c r="B928" s="23"/>
      <c r="C928" s="23"/>
      <c r="D928" s="23"/>
      <c r="E928" s="23"/>
      <c r="F928" s="23"/>
      <c r="G928" s="23"/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</row>
    <row r="929" spans="1:19">
      <c r="A929" s="23"/>
      <c r="B929" s="23"/>
      <c r="C929" s="23"/>
      <c r="D929" s="23"/>
      <c r="E929" s="23"/>
      <c r="F929" s="23"/>
      <c r="G929" s="23"/>
      <c r="H929" s="23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</row>
    <row r="930" spans="1:19">
      <c r="A930" s="23"/>
      <c r="B930" s="23"/>
      <c r="C930" s="23"/>
      <c r="D930" s="23"/>
      <c r="E930" s="23"/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</row>
    <row r="931" spans="1:19">
      <c r="A931" s="23"/>
      <c r="B931" s="23"/>
      <c r="C931" s="23"/>
      <c r="D931" s="23"/>
      <c r="E931" s="23"/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</row>
    <row r="932" spans="1:19">
      <c r="A932" s="23"/>
      <c r="B932" s="23"/>
      <c r="C932" s="23"/>
      <c r="D932" s="23"/>
      <c r="E932" s="23"/>
      <c r="F932" s="23"/>
      <c r="G932" s="23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</row>
    <row r="933" spans="1:19">
      <c r="A933" s="23"/>
      <c r="B933" s="23"/>
      <c r="C933" s="23"/>
      <c r="D933" s="23"/>
      <c r="E933" s="23"/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</row>
    <row r="934" spans="1:19">
      <c r="A934" s="23"/>
      <c r="B934" s="23"/>
      <c r="C934" s="23"/>
      <c r="D934" s="23"/>
      <c r="E934" s="23"/>
      <c r="F934" s="23"/>
      <c r="G934" s="23"/>
      <c r="H934" s="23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</row>
    <row r="935" spans="1:19">
      <c r="A935" s="23"/>
      <c r="B935" s="23"/>
      <c r="C935" s="23"/>
      <c r="D935" s="23"/>
      <c r="E935" s="23"/>
      <c r="F935" s="23"/>
      <c r="G935" s="23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</row>
    <row r="936" spans="1:19">
      <c r="A936" s="23"/>
      <c r="B936" s="23"/>
      <c r="C936" s="23"/>
      <c r="D936" s="23"/>
      <c r="E936" s="23"/>
      <c r="F936" s="23"/>
      <c r="G936" s="23"/>
      <c r="H936" s="23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</row>
    <row r="937" spans="1:19">
      <c r="A937" s="23"/>
      <c r="B937" s="23"/>
      <c r="C937" s="23"/>
      <c r="D937" s="23"/>
      <c r="E937" s="23"/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</row>
    <row r="938" spans="1:19">
      <c r="A938" s="23"/>
      <c r="B938" s="23"/>
      <c r="C938" s="23"/>
      <c r="D938" s="23"/>
      <c r="E938" s="23"/>
      <c r="F938" s="23"/>
      <c r="G938" s="23"/>
      <c r="H938" s="23"/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</row>
    <row r="939" spans="1:19">
      <c r="A939" s="23"/>
      <c r="B939" s="23"/>
      <c r="C939" s="23"/>
      <c r="D939" s="23"/>
      <c r="E939" s="23"/>
      <c r="F939" s="23"/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</row>
    <row r="940" spans="1:19">
      <c r="A940" s="23"/>
      <c r="B940" s="23"/>
      <c r="C940" s="23"/>
      <c r="D940" s="23"/>
      <c r="E940" s="23"/>
      <c r="F940" s="23"/>
      <c r="G940" s="23"/>
      <c r="H940" s="23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</row>
    <row r="941" spans="1:19">
      <c r="A941" s="23"/>
      <c r="B941" s="23"/>
      <c r="C941" s="23"/>
      <c r="D941" s="23"/>
      <c r="E941" s="23"/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</row>
    <row r="942" spans="1:19">
      <c r="A942" s="23"/>
      <c r="B942" s="23"/>
      <c r="C942" s="23"/>
      <c r="D942" s="23"/>
      <c r="E942" s="23"/>
      <c r="F942" s="23"/>
      <c r="G942" s="23"/>
      <c r="H942" s="23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</row>
    <row r="943" spans="1:19">
      <c r="A943" s="23"/>
      <c r="B943" s="23"/>
      <c r="C943" s="23"/>
      <c r="D943" s="23"/>
      <c r="E943" s="23"/>
      <c r="F943" s="23"/>
      <c r="G943" s="23"/>
      <c r="H943" s="23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</row>
    <row r="944" spans="1:19">
      <c r="A944" s="23"/>
      <c r="B944" s="23"/>
      <c r="C944" s="23"/>
      <c r="D944" s="23"/>
      <c r="E944" s="23"/>
      <c r="F944" s="23"/>
      <c r="G944" s="23"/>
      <c r="H944" s="23"/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</row>
    <row r="945" spans="1:19">
      <c r="A945" s="23"/>
      <c r="B945" s="23"/>
      <c r="C945" s="23"/>
      <c r="D945" s="23"/>
      <c r="E945" s="23"/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</row>
    <row r="946" spans="1:19">
      <c r="A946" s="23"/>
      <c r="B946" s="23"/>
      <c r="C946" s="23"/>
      <c r="D946" s="23"/>
      <c r="E946" s="23"/>
      <c r="F946" s="23"/>
      <c r="G946" s="23"/>
      <c r="H946" s="23"/>
      <c r="I946" s="23"/>
      <c r="J946" s="23"/>
      <c r="K946" s="23"/>
      <c r="L946" s="23"/>
      <c r="M946" s="23"/>
      <c r="N946" s="23"/>
      <c r="O946" s="23"/>
      <c r="P946" s="23"/>
      <c r="Q946" s="23"/>
      <c r="R946" s="23"/>
      <c r="S946" s="23"/>
    </row>
    <row r="947" spans="1:19">
      <c r="A947" s="23"/>
      <c r="B947" s="23"/>
      <c r="C947" s="23"/>
      <c r="D947" s="23"/>
      <c r="E947" s="23"/>
      <c r="F947" s="23"/>
      <c r="G947" s="23"/>
      <c r="H947" s="23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</row>
    <row r="948" spans="1:19">
      <c r="A948" s="23"/>
      <c r="B948" s="23"/>
      <c r="C948" s="23"/>
      <c r="D948" s="23"/>
      <c r="E948" s="23"/>
      <c r="F948" s="23"/>
      <c r="G948" s="23"/>
      <c r="H948" s="23"/>
      <c r="I948" s="23"/>
      <c r="J948" s="23"/>
      <c r="K948" s="23"/>
      <c r="L948" s="23"/>
      <c r="M948" s="23"/>
      <c r="N948" s="23"/>
      <c r="O948" s="23"/>
      <c r="P948" s="23"/>
      <c r="Q948" s="23"/>
      <c r="R948" s="23"/>
      <c r="S948" s="23"/>
    </row>
    <row r="949" spans="1:19">
      <c r="A949" s="23"/>
      <c r="B949" s="23"/>
      <c r="C949" s="23"/>
      <c r="D949" s="23"/>
      <c r="E949" s="23"/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</row>
    <row r="950" spans="1:19">
      <c r="A950" s="23"/>
      <c r="B950" s="23"/>
      <c r="C950" s="23"/>
      <c r="D950" s="23"/>
      <c r="E950" s="23"/>
      <c r="F950" s="23"/>
      <c r="G950" s="23"/>
      <c r="H950" s="23"/>
      <c r="I950" s="23"/>
      <c r="J950" s="23"/>
      <c r="K950" s="23"/>
      <c r="L950" s="23"/>
      <c r="M950" s="23"/>
      <c r="N950" s="23"/>
      <c r="O950" s="23"/>
      <c r="P950" s="23"/>
      <c r="Q950" s="23"/>
      <c r="R950" s="23"/>
      <c r="S950" s="23"/>
    </row>
    <row r="951" spans="1:19">
      <c r="A951" s="23"/>
      <c r="B951" s="23"/>
      <c r="C951" s="23"/>
      <c r="D951" s="23"/>
      <c r="E951" s="23"/>
      <c r="F951" s="23"/>
      <c r="G951" s="23"/>
      <c r="H951" s="23"/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</row>
    <row r="952" spans="1:19">
      <c r="A952" s="23"/>
      <c r="B952" s="23"/>
      <c r="C952" s="23"/>
      <c r="D952" s="23"/>
      <c r="E952" s="23"/>
      <c r="F952" s="23"/>
      <c r="G952" s="23"/>
      <c r="H952" s="23"/>
      <c r="I952" s="23"/>
      <c r="J952" s="23"/>
      <c r="K952" s="23"/>
      <c r="L952" s="23"/>
      <c r="M952" s="23"/>
      <c r="N952" s="23"/>
      <c r="O952" s="23"/>
      <c r="P952" s="23"/>
      <c r="Q952" s="23"/>
      <c r="R952" s="23"/>
      <c r="S952" s="23"/>
    </row>
    <row r="953" spans="1:19">
      <c r="A953" s="23"/>
      <c r="B953" s="23"/>
      <c r="C953" s="23"/>
      <c r="D953" s="23"/>
      <c r="E953" s="23"/>
      <c r="F953" s="23"/>
      <c r="G953" s="23"/>
      <c r="H953" s="23"/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</row>
    <row r="954" spans="1:19">
      <c r="A954" s="23"/>
      <c r="B954" s="23"/>
      <c r="C954" s="23"/>
      <c r="D954" s="23"/>
      <c r="E954" s="23"/>
      <c r="F954" s="23"/>
      <c r="G954" s="23"/>
      <c r="H954" s="23"/>
      <c r="I954" s="23"/>
      <c r="J954" s="23"/>
      <c r="K954" s="23"/>
      <c r="L954" s="23"/>
      <c r="M954" s="23"/>
      <c r="N954" s="23"/>
      <c r="O954" s="23"/>
      <c r="P954" s="23"/>
      <c r="Q954" s="23"/>
      <c r="R954" s="23"/>
      <c r="S954" s="23"/>
    </row>
    <row r="955" spans="1:19">
      <c r="A955" s="23"/>
      <c r="B955" s="23"/>
      <c r="C955" s="23"/>
      <c r="D955" s="23"/>
      <c r="E955" s="23"/>
      <c r="F955" s="23"/>
      <c r="G955" s="23"/>
      <c r="H955" s="23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</row>
    <row r="956" spans="1:19">
      <c r="A956" s="23"/>
      <c r="B956" s="23"/>
      <c r="C956" s="23"/>
      <c r="D956" s="23"/>
      <c r="E956" s="23"/>
      <c r="F956" s="23"/>
      <c r="G956" s="23"/>
      <c r="H956" s="23"/>
      <c r="I956" s="23"/>
      <c r="J956" s="23"/>
      <c r="K956" s="23"/>
      <c r="L956" s="23"/>
      <c r="M956" s="23"/>
      <c r="N956" s="23"/>
      <c r="O956" s="23"/>
      <c r="P956" s="23"/>
      <c r="Q956" s="23"/>
      <c r="R956" s="23"/>
      <c r="S956" s="23"/>
    </row>
    <row r="957" spans="1:19">
      <c r="A957" s="23"/>
      <c r="B957" s="23"/>
      <c r="C957" s="23"/>
      <c r="D957" s="23"/>
      <c r="E957" s="23"/>
      <c r="F957" s="23"/>
      <c r="G957" s="23"/>
      <c r="H957" s="23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</row>
    <row r="958" spans="1:19">
      <c r="A958" s="23"/>
      <c r="B958" s="23"/>
      <c r="C958" s="23"/>
      <c r="D958" s="23"/>
      <c r="E958" s="23"/>
      <c r="F958" s="23"/>
      <c r="G958" s="23"/>
      <c r="H958" s="23"/>
      <c r="I958" s="23"/>
      <c r="J958" s="23"/>
      <c r="K958" s="23"/>
      <c r="L958" s="23"/>
      <c r="M958" s="23"/>
      <c r="N958" s="23"/>
      <c r="O958" s="23"/>
      <c r="P958" s="23"/>
      <c r="Q958" s="23"/>
      <c r="R958" s="23"/>
      <c r="S958" s="23"/>
    </row>
    <row r="959" spans="1:19">
      <c r="A959" s="23"/>
      <c r="B959" s="23"/>
      <c r="C959" s="23"/>
      <c r="D959" s="23"/>
      <c r="E959" s="23"/>
      <c r="F959" s="23"/>
      <c r="G959" s="23"/>
      <c r="H959" s="23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</row>
    <row r="960" spans="1:19">
      <c r="A960" s="23"/>
      <c r="B960" s="23"/>
      <c r="C960" s="23"/>
      <c r="D960" s="23"/>
      <c r="E960" s="23"/>
      <c r="F960" s="23"/>
      <c r="G960" s="23"/>
      <c r="H960" s="23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</row>
    <row r="961" spans="1:19">
      <c r="A961" s="23"/>
      <c r="B961" s="23"/>
      <c r="C961" s="23"/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</row>
    <row r="962" spans="1:19">
      <c r="A962" s="23"/>
      <c r="B962" s="23"/>
      <c r="C962" s="23"/>
      <c r="D962" s="23"/>
      <c r="E962" s="23"/>
      <c r="F962" s="23"/>
      <c r="G962" s="23"/>
      <c r="H962" s="23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</row>
    <row r="963" spans="1:19">
      <c r="A963" s="23"/>
      <c r="B963" s="23"/>
      <c r="C963" s="23"/>
      <c r="D963" s="23"/>
      <c r="E963" s="23"/>
      <c r="F963" s="23"/>
      <c r="G963" s="23"/>
      <c r="H963" s="23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</row>
    <row r="964" spans="1:19">
      <c r="A964" s="23"/>
      <c r="B964" s="23"/>
      <c r="C964" s="23"/>
      <c r="D964" s="23"/>
      <c r="E964" s="23"/>
      <c r="F964" s="23"/>
      <c r="G964" s="23"/>
      <c r="H964" s="23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</row>
    <row r="965" spans="1:19">
      <c r="A965" s="23"/>
      <c r="B965" s="23"/>
      <c r="C965" s="23"/>
      <c r="D965" s="23"/>
      <c r="E965" s="23"/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</row>
    <row r="966" spans="1:19">
      <c r="A966" s="23"/>
      <c r="B966" s="23"/>
      <c r="C966" s="23"/>
      <c r="D966" s="23"/>
      <c r="E966" s="23"/>
      <c r="F966" s="23"/>
      <c r="G966" s="23"/>
      <c r="H966" s="23"/>
      <c r="I966" s="23"/>
      <c r="J966" s="23"/>
      <c r="K966" s="23"/>
      <c r="L966" s="23"/>
      <c r="M966" s="23"/>
      <c r="N966" s="23"/>
      <c r="O966" s="23"/>
      <c r="P966" s="23"/>
      <c r="Q966" s="23"/>
      <c r="R966" s="23"/>
      <c r="S966" s="23"/>
    </row>
    <row r="967" spans="1:19">
      <c r="A967" s="23"/>
      <c r="B967" s="23"/>
      <c r="C967" s="23"/>
      <c r="D967" s="23"/>
      <c r="E967" s="23"/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</row>
    <row r="968" spans="1:19">
      <c r="A968" s="23"/>
      <c r="B968" s="23"/>
      <c r="C968" s="23"/>
      <c r="D968" s="23"/>
      <c r="E968" s="23"/>
      <c r="F968" s="23"/>
      <c r="G968" s="23"/>
      <c r="H968" s="23"/>
      <c r="I968" s="23"/>
      <c r="J968" s="23"/>
      <c r="K968" s="23"/>
      <c r="L968" s="23"/>
      <c r="M968" s="23"/>
      <c r="N968" s="23"/>
      <c r="O968" s="23"/>
      <c r="P968" s="23"/>
      <c r="Q968" s="23"/>
      <c r="R968" s="23"/>
      <c r="S968" s="23"/>
    </row>
    <row r="969" spans="1:19">
      <c r="A969" s="23"/>
      <c r="B969" s="23"/>
      <c r="C969" s="23"/>
      <c r="D969" s="23"/>
      <c r="E969" s="23"/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</row>
    <row r="970" spans="1:19">
      <c r="A970" s="23"/>
      <c r="B970" s="23"/>
      <c r="C970" s="23"/>
      <c r="D970" s="23"/>
      <c r="E970" s="23"/>
      <c r="F970" s="23"/>
      <c r="G970" s="23"/>
      <c r="H970" s="23"/>
      <c r="I970" s="23"/>
      <c r="J970" s="23"/>
      <c r="K970" s="23"/>
      <c r="L970" s="23"/>
      <c r="M970" s="23"/>
      <c r="N970" s="23"/>
      <c r="O970" s="23"/>
      <c r="P970" s="23"/>
      <c r="Q970" s="23"/>
      <c r="R970" s="23"/>
      <c r="S970" s="23"/>
    </row>
    <row r="971" spans="1:19">
      <c r="A971" s="23"/>
      <c r="B971" s="23"/>
      <c r="C971" s="23"/>
      <c r="D971" s="23"/>
      <c r="E971" s="23"/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</row>
    <row r="972" spans="1:19">
      <c r="A972" s="23"/>
      <c r="B972" s="23"/>
      <c r="C972" s="23"/>
      <c r="D972" s="23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</row>
    <row r="973" spans="1:19">
      <c r="A973" s="23"/>
      <c r="B973" s="23"/>
      <c r="C973" s="23"/>
      <c r="D973" s="23"/>
      <c r="E973" s="23"/>
      <c r="F973" s="23"/>
      <c r="G973" s="23"/>
      <c r="H973" s="23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</row>
    <row r="974" spans="1:19">
      <c r="A974" s="23"/>
      <c r="B974" s="23"/>
      <c r="C974" s="23"/>
      <c r="D974" s="23"/>
      <c r="E974" s="23"/>
      <c r="F974" s="23"/>
      <c r="G974" s="23"/>
      <c r="H974" s="23"/>
      <c r="I974" s="23"/>
      <c r="J974" s="23"/>
      <c r="K974" s="23"/>
      <c r="L974" s="23"/>
      <c r="M974" s="23"/>
      <c r="N974" s="23"/>
      <c r="O974" s="23"/>
      <c r="P974" s="23"/>
      <c r="Q974" s="23"/>
      <c r="R974" s="23"/>
      <c r="S974" s="23"/>
    </row>
    <row r="975" spans="1:19">
      <c r="A975" s="23"/>
      <c r="B975" s="23"/>
      <c r="C975" s="23"/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</row>
    <row r="976" spans="1:19">
      <c r="A976" s="23"/>
      <c r="B976" s="23"/>
      <c r="C976" s="23"/>
      <c r="D976" s="23"/>
      <c r="E976" s="23"/>
      <c r="F976" s="23"/>
      <c r="G976" s="23"/>
      <c r="H976" s="23"/>
      <c r="I976" s="23"/>
      <c r="J976" s="23"/>
      <c r="K976" s="23"/>
      <c r="L976" s="23"/>
      <c r="M976" s="23"/>
      <c r="N976" s="23"/>
      <c r="O976" s="23"/>
      <c r="P976" s="23"/>
      <c r="Q976" s="23"/>
      <c r="R976" s="23"/>
      <c r="S976" s="23"/>
    </row>
    <row r="977" spans="1:19">
      <c r="A977" s="23"/>
      <c r="B977" s="23"/>
      <c r="C977" s="23"/>
      <c r="D977" s="23"/>
      <c r="E977" s="23"/>
      <c r="F977" s="23"/>
      <c r="G977" s="23"/>
      <c r="H977" s="23"/>
      <c r="I977" s="23"/>
      <c r="J977" s="23"/>
      <c r="K977" s="23"/>
      <c r="L977" s="23"/>
      <c r="M977" s="23"/>
      <c r="N977" s="23"/>
      <c r="O977" s="23"/>
      <c r="P977" s="23"/>
      <c r="Q977" s="23"/>
      <c r="R977" s="23"/>
      <c r="S977" s="23"/>
    </row>
    <row r="978" spans="1:19">
      <c r="A978" s="23"/>
      <c r="B978" s="23"/>
      <c r="C978" s="23"/>
      <c r="D978" s="23"/>
      <c r="E978" s="23"/>
      <c r="F978" s="23"/>
      <c r="G978" s="23"/>
      <c r="H978" s="23"/>
      <c r="I978" s="23"/>
      <c r="J978" s="23"/>
      <c r="K978" s="23"/>
      <c r="L978" s="23"/>
      <c r="M978" s="23"/>
      <c r="N978" s="23"/>
      <c r="O978" s="23"/>
      <c r="P978" s="23"/>
      <c r="Q978" s="23"/>
      <c r="R978" s="23"/>
      <c r="S978" s="23"/>
    </row>
    <row r="979" spans="1:19">
      <c r="A979" s="23"/>
      <c r="B979" s="23"/>
      <c r="C979" s="23"/>
      <c r="D979" s="23"/>
      <c r="E979" s="23"/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</row>
    <row r="980" spans="1:19">
      <c r="A980" s="23"/>
      <c r="B980" s="23"/>
      <c r="C980" s="23"/>
      <c r="D980" s="23"/>
      <c r="E980" s="23"/>
      <c r="F980" s="23"/>
      <c r="G980" s="23"/>
      <c r="H980" s="23"/>
      <c r="I980" s="23"/>
      <c r="J980" s="23"/>
      <c r="K980" s="23"/>
      <c r="L980" s="23"/>
      <c r="M980" s="23"/>
      <c r="N980" s="23"/>
      <c r="O980" s="23"/>
      <c r="P980" s="23"/>
      <c r="Q980" s="23"/>
      <c r="R980" s="23"/>
      <c r="S980" s="23"/>
    </row>
    <row r="981" spans="1:19">
      <c r="A981" s="23"/>
      <c r="B981" s="23"/>
      <c r="C981" s="23"/>
      <c r="D981" s="23"/>
      <c r="E981" s="23"/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</row>
    <row r="982" spans="1:19">
      <c r="A982" s="23"/>
      <c r="B982" s="23"/>
      <c r="C982" s="23"/>
      <c r="D982" s="23"/>
      <c r="E982" s="23"/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</row>
    <row r="983" spans="1:19">
      <c r="A983" s="23"/>
      <c r="B983" s="23"/>
      <c r="C983" s="23"/>
      <c r="D983" s="23"/>
      <c r="E983" s="23"/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</row>
    <row r="984" spans="1:19">
      <c r="A984" s="23"/>
      <c r="B984" s="23"/>
      <c r="C984" s="23"/>
      <c r="D984" s="23"/>
      <c r="E984" s="23"/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</row>
    <row r="985" spans="1:19">
      <c r="A985" s="23"/>
      <c r="B985" s="23"/>
      <c r="C985" s="23"/>
      <c r="D985" s="23"/>
      <c r="E985" s="23"/>
      <c r="F985" s="23"/>
      <c r="G985" s="23"/>
      <c r="H985" s="23"/>
      <c r="I985" s="23"/>
      <c r="J985" s="23"/>
      <c r="K985" s="23"/>
      <c r="L985" s="23"/>
      <c r="M985" s="23"/>
      <c r="N985" s="23"/>
      <c r="O985" s="23"/>
      <c r="P985" s="23"/>
      <c r="Q985" s="23"/>
      <c r="R985" s="23"/>
      <c r="S985" s="23"/>
    </row>
    <row r="986" spans="1:19">
      <c r="A986" s="23"/>
      <c r="B986" s="23"/>
      <c r="C986" s="23"/>
      <c r="D986" s="23"/>
      <c r="E986" s="23"/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23"/>
    </row>
    <row r="987" spans="1:19">
      <c r="A987" s="23"/>
      <c r="B987" s="23"/>
      <c r="C987" s="23"/>
      <c r="D987" s="23"/>
      <c r="E987" s="23"/>
      <c r="F987" s="23"/>
      <c r="G987" s="23"/>
      <c r="H987" s="23"/>
      <c r="I987" s="23"/>
      <c r="J987" s="23"/>
      <c r="K987" s="23"/>
      <c r="L987" s="23"/>
      <c r="M987" s="23"/>
      <c r="N987" s="23"/>
      <c r="O987" s="23"/>
      <c r="P987" s="23"/>
      <c r="Q987" s="23"/>
      <c r="R987" s="23"/>
      <c r="S987" s="23"/>
    </row>
    <row r="988" spans="1:19">
      <c r="A988" s="23"/>
      <c r="B988" s="23"/>
      <c r="C988" s="23"/>
      <c r="D988" s="23"/>
      <c r="E988" s="23"/>
      <c r="F988" s="23"/>
      <c r="G988" s="23"/>
      <c r="H988" s="23"/>
      <c r="I988" s="23"/>
      <c r="J988" s="23"/>
      <c r="K988" s="23"/>
      <c r="L988" s="23"/>
      <c r="M988" s="23"/>
      <c r="N988" s="23"/>
      <c r="O988" s="23"/>
      <c r="P988" s="23"/>
      <c r="Q988" s="23"/>
      <c r="R988" s="23"/>
      <c r="S988" s="23"/>
    </row>
    <row r="989" spans="1:19">
      <c r="A989" s="23"/>
      <c r="B989" s="23"/>
      <c r="C989" s="23"/>
      <c r="D989" s="23"/>
      <c r="E989" s="23"/>
      <c r="F989" s="23"/>
      <c r="G989" s="23"/>
      <c r="H989" s="23"/>
      <c r="I989" s="23"/>
      <c r="J989" s="23"/>
      <c r="K989" s="23"/>
      <c r="L989" s="23"/>
      <c r="M989" s="23"/>
      <c r="N989" s="23"/>
      <c r="O989" s="23"/>
      <c r="P989" s="23"/>
      <c r="Q989" s="23"/>
      <c r="R989" s="23"/>
      <c r="S989" s="23"/>
    </row>
    <row r="990" spans="1:19">
      <c r="A990" s="23"/>
      <c r="B990" s="23"/>
      <c r="C990" s="23"/>
      <c r="D990" s="23"/>
      <c r="E990" s="23"/>
      <c r="F990" s="23"/>
      <c r="G990" s="23"/>
      <c r="H990" s="23"/>
      <c r="I990" s="23"/>
      <c r="J990" s="23"/>
      <c r="K990" s="23"/>
      <c r="L990" s="23"/>
      <c r="M990" s="23"/>
      <c r="N990" s="23"/>
      <c r="O990" s="23"/>
      <c r="P990" s="23"/>
      <c r="Q990" s="23"/>
      <c r="R990" s="23"/>
      <c r="S990" s="23"/>
    </row>
    <row r="991" spans="1:19">
      <c r="A991" s="23"/>
      <c r="B991" s="23"/>
      <c r="C991" s="23"/>
      <c r="D991" s="23"/>
      <c r="E991" s="23"/>
      <c r="F991" s="23"/>
      <c r="G991" s="23"/>
      <c r="H991" s="23"/>
      <c r="I991" s="23"/>
      <c r="J991" s="23"/>
      <c r="K991" s="23"/>
      <c r="L991" s="23"/>
      <c r="M991" s="23"/>
      <c r="N991" s="23"/>
      <c r="O991" s="23"/>
      <c r="P991" s="23"/>
      <c r="Q991" s="23"/>
      <c r="R991" s="23"/>
      <c r="S991" s="23"/>
    </row>
    <row r="992" spans="1:19">
      <c r="A992" s="23"/>
      <c r="B992" s="23"/>
      <c r="C992" s="23"/>
      <c r="D992" s="23"/>
      <c r="E992" s="23"/>
      <c r="F992" s="23"/>
      <c r="G992" s="23"/>
      <c r="H992" s="23"/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</row>
    <row r="993" spans="1:19">
      <c r="A993" s="23"/>
      <c r="B993" s="23"/>
      <c r="C993" s="23"/>
      <c r="D993" s="23"/>
      <c r="E993" s="23"/>
      <c r="F993" s="23"/>
      <c r="G993" s="23"/>
      <c r="H993" s="23"/>
      <c r="I993" s="23"/>
      <c r="J993" s="23"/>
      <c r="K993" s="23"/>
      <c r="L993" s="23"/>
      <c r="M993" s="23"/>
      <c r="N993" s="23"/>
      <c r="O993" s="23"/>
      <c r="P993" s="23"/>
      <c r="Q993" s="23"/>
      <c r="R993" s="23"/>
      <c r="S993" s="23"/>
    </row>
    <row r="994" spans="1:19">
      <c r="A994" s="23"/>
      <c r="B994" s="23"/>
      <c r="C994" s="23"/>
      <c r="D994" s="23"/>
      <c r="E994" s="23"/>
      <c r="F994" s="23"/>
      <c r="G994" s="23"/>
      <c r="H994" s="23"/>
      <c r="I994" s="23"/>
      <c r="J994" s="23"/>
      <c r="K994" s="23"/>
      <c r="L994" s="23"/>
      <c r="M994" s="23"/>
      <c r="N994" s="23"/>
      <c r="O994" s="23"/>
      <c r="P994" s="23"/>
      <c r="Q994" s="23"/>
      <c r="R994" s="23"/>
      <c r="S994" s="23"/>
    </row>
    <row r="995" spans="1:19">
      <c r="A995" s="23"/>
      <c r="B995" s="23"/>
      <c r="C995" s="23"/>
      <c r="D995" s="23"/>
      <c r="E995" s="23"/>
      <c r="F995" s="23"/>
      <c r="G995" s="23"/>
      <c r="H995" s="23"/>
      <c r="I995" s="23"/>
      <c r="J995" s="23"/>
      <c r="K995" s="23"/>
      <c r="L995" s="23"/>
      <c r="M995" s="23"/>
      <c r="N995" s="23"/>
      <c r="O995" s="23"/>
      <c r="P995" s="23"/>
      <c r="Q995" s="23"/>
      <c r="R995" s="23"/>
      <c r="S995" s="23"/>
    </row>
    <row r="996" spans="1:19">
      <c r="A996" s="23"/>
      <c r="B996" s="23"/>
      <c r="C996" s="23"/>
      <c r="D996" s="23"/>
      <c r="E996" s="23"/>
      <c r="F996" s="23"/>
      <c r="G996" s="23"/>
      <c r="H996" s="23"/>
      <c r="I996" s="23"/>
      <c r="J996" s="23"/>
      <c r="K996" s="23"/>
      <c r="L996" s="23"/>
      <c r="M996" s="23"/>
      <c r="N996" s="23"/>
      <c r="O996" s="23"/>
      <c r="P996" s="23"/>
      <c r="Q996" s="23"/>
      <c r="R996" s="23"/>
      <c r="S996" s="23"/>
    </row>
    <row r="997" spans="1:19">
      <c r="A997" s="23"/>
      <c r="B997" s="23"/>
      <c r="C997" s="23"/>
      <c r="D997" s="23"/>
      <c r="E997" s="23"/>
      <c r="F997" s="23"/>
      <c r="G997" s="23"/>
      <c r="H997" s="23"/>
      <c r="I997" s="23"/>
      <c r="J997" s="23"/>
      <c r="K997" s="23"/>
      <c r="L997" s="23"/>
      <c r="M997" s="23"/>
      <c r="N997" s="23"/>
      <c r="O997" s="23"/>
      <c r="P997" s="23"/>
      <c r="Q997" s="23"/>
      <c r="R997" s="23"/>
      <c r="S997" s="23"/>
    </row>
    <row r="998" spans="1:19">
      <c r="A998" s="23"/>
      <c r="B998" s="23"/>
      <c r="C998" s="23"/>
      <c r="D998" s="23"/>
      <c r="E998" s="23"/>
      <c r="F998" s="23"/>
      <c r="G998" s="23"/>
      <c r="H998" s="23"/>
      <c r="I998" s="23"/>
      <c r="J998" s="23"/>
      <c r="K998" s="23"/>
      <c r="L998" s="23"/>
      <c r="M998" s="23"/>
      <c r="N998" s="23"/>
      <c r="O998" s="23"/>
      <c r="P998" s="23"/>
      <c r="Q998" s="23"/>
      <c r="R998" s="23"/>
      <c r="S998" s="23"/>
    </row>
    <row r="999" spans="1:19">
      <c r="A999" s="23"/>
      <c r="B999" s="23"/>
      <c r="C999" s="23"/>
      <c r="D999" s="23"/>
      <c r="E999" s="23"/>
      <c r="F999" s="23"/>
      <c r="G999" s="23"/>
      <c r="H999" s="23"/>
      <c r="I999" s="23"/>
      <c r="J999" s="23"/>
      <c r="K999" s="23"/>
      <c r="L999" s="23"/>
      <c r="M999" s="23"/>
      <c r="N999" s="23"/>
      <c r="O999" s="23"/>
      <c r="P999" s="23"/>
      <c r="Q999" s="23"/>
      <c r="R999" s="23"/>
      <c r="S999" s="23"/>
    </row>
    <row r="1000" spans="1:19">
      <c r="A1000" s="23"/>
      <c r="B1000" s="23"/>
      <c r="C1000" s="23"/>
      <c r="D1000" s="23"/>
      <c r="E1000" s="23"/>
      <c r="F1000" s="23"/>
      <c r="G1000" s="23"/>
      <c r="H1000" s="23"/>
      <c r="I1000" s="23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outlinePr summaryBelow="0" summaryRight="0"/>
  </sheetPr>
  <dimension ref="A1:S1000"/>
  <sheetViews>
    <sheetView workbookViewId="0"/>
  </sheetViews>
  <sheetFormatPr baseColWidth="10" defaultColWidth="11.1640625" defaultRowHeight="15" customHeight="1"/>
  <sheetData>
    <row r="1" spans="1:19">
      <c r="A1" s="23" t="str">
        <f ca="1">IFERROR(__xludf.DUMMYFUNCTION("IMPORTRANGE(""https://docs.google.com/spreadsheets/d/1KqxhEZ4PVC1OdS4KxgAi7tNyAwNiCCwsE-yZzyD_FCU/edit?gid=1196187914#gid=1196187914"",""01!A1:S"")"),"INDICADORES")</f>
        <v>INDICADORES</v>
      </c>
      <c r="B1" s="23" t="str">
        <f ca="1">IFERROR(__xludf.DUMMYFUNCTION("""COMPUTED_VALUE"""),"META ANUAL")</f>
        <v>META ANUAL</v>
      </c>
      <c r="C1" s="23" t="str">
        <f ca="1">IFERROR(__xludf.DUMMYFUNCTION("""COMPUTED_VALUE"""),"UNIDAD DE MEDIDA")</f>
        <v>UNIDAD DE MEDIDA</v>
      </c>
      <c r="D1" s="23" t="str">
        <f ca="1">IFERROR(__xludf.DUMMYFUNCTION("""COMPUTED_VALUE"""),"TIPO DE INDICADOR")</f>
        <v>TIPO DE INDICADOR</v>
      </c>
      <c r="E1" s="23" t="str">
        <f ca="1">IFERROR(__xludf.DUMMYFUNCTION("""COMPUTED_VALUE"""),"MEDIO DE VERIFICACION")</f>
        <v>MEDIO DE VERIFICACION</v>
      </c>
      <c r="F1" s="23" t="str">
        <f ca="1">IFERROR(__xludf.DUMMYFUNCTION("""COMPUTED_VALUE"""),"% AVANCE ")</f>
        <v xml:space="preserve">% AVANCE </v>
      </c>
      <c r="G1" s="23" t="str">
        <f ca="1">IFERROR(__xludf.DUMMYFUNCTION("""COMPUTED_VALUE"""),"OCTUBRE")</f>
        <v>OCTUBRE</v>
      </c>
      <c r="H1" s="23" t="str">
        <f ca="1">IFERROR(__xludf.DUMMYFUNCTION("""COMPUTED_VALUE"""),"NOVIEMBRE")</f>
        <v>NOVIEMBRE</v>
      </c>
      <c r="I1" s="23" t="str">
        <f ca="1">IFERROR(__xludf.DUMMYFUNCTION("""COMPUTED_VALUE"""),"DICIEMBRE")</f>
        <v>DICIEMBRE</v>
      </c>
      <c r="J1" s="23" t="str">
        <f ca="1">IFERROR(__xludf.DUMMYFUNCTION("""COMPUTED_VALUE"""),"ENERO ")</f>
        <v xml:space="preserve">ENERO </v>
      </c>
      <c r="K1" s="23" t="str">
        <f ca="1">IFERROR(__xludf.DUMMYFUNCTION("""COMPUTED_VALUE"""),"FEBRERO")</f>
        <v>FEBRERO</v>
      </c>
      <c r="L1" s="23" t="str">
        <f ca="1">IFERROR(__xludf.DUMMYFUNCTION("""COMPUTED_VALUE"""),"MARZO")</f>
        <v>MARZO</v>
      </c>
      <c r="M1" s="23" t="str">
        <f ca="1">IFERROR(__xludf.DUMMYFUNCTION("""COMPUTED_VALUE"""),"ABRIL")</f>
        <v>ABRIL</v>
      </c>
      <c r="N1" s="23" t="str">
        <f ca="1">IFERROR(__xludf.DUMMYFUNCTION("""COMPUTED_VALUE"""),"MAYO")</f>
        <v>MAYO</v>
      </c>
      <c r="O1" s="23" t="str">
        <f ca="1">IFERROR(__xludf.DUMMYFUNCTION("""COMPUTED_VALUE"""),"JUNIO")</f>
        <v>JUNIO</v>
      </c>
      <c r="P1" s="23" t="str">
        <f ca="1">IFERROR(__xludf.DUMMYFUNCTION("""COMPUTED_VALUE"""),"JULIO")</f>
        <v>JULIO</v>
      </c>
      <c r="Q1" s="23" t="str">
        <f ca="1">IFERROR(__xludf.DUMMYFUNCTION("""COMPUTED_VALUE"""),"AGOSTO")</f>
        <v>AGOSTO</v>
      </c>
      <c r="R1" s="23" t="str">
        <f ca="1">IFERROR(__xludf.DUMMYFUNCTION("""COMPUTED_VALUE"""),"SEPTIEMBRE")</f>
        <v>SEPTIEMBRE</v>
      </c>
      <c r="S1" s="23" t="str">
        <f ca="1">IFERROR(__xludf.DUMMYFUNCTION("""COMPUTED_VALUE"""),"SUMATORIA TOTAL")</f>
        <v>SUMATORIA TOTAL</v>
      </c>
    </row>
    <row r="2" spans="1:19">
      <c r="A2" s="23" t="str">
        <f ca="1">IFERROR(__xludf.DUMMYFUNCTION("""COMPUTED_VALUE"""),"AUDITORIA INICIADA")</f>
        <v>AUDITORIA INICIADA</v>
      </c>
      <c r="B2" s="23">
        <f ca="1">IFERROR(__xludf.DUMMYFUNCTION("""COMPUTED_VALUE"""),1)</f>
        <v>1</v>
      </c>
      <c r="C2" s="23" t="str">
        <f ca="1">IFERROR(__xludf.DUMMYFUNCTION("""COMPUTED_VALUE"""),"AUDITORIAS")</f>
        <v>AUDITORIAS</v>
      </c>
      <c r="D2" s="23" t="str">
        <f ca="1">IFERROR(__xludf.DUMMYFUNCTION("""COMPUTED_VALUE"""),"ASCENDENTE")</f>
        <v>ASCENDENTE</v>
      </c>
      <c r="E2" s="23" t="str">
        <f ca="1">IFERROR(__xludf.DUMMYFUNCTION("""COMPUTED_VALUE"""),"BITACORA OPERATIVA")</f>
        <v>BITACORA OPERATIVA</v>
      </c>
      <c r="F2" s="23">
        <f ca="1">IFERROR(__xludf.DUMMYFUNCTION("""COMPUTED_VALUE"""),0)</f>
        <v>0</v>
      </c>
      <c r="G2" s="23">
        <f ca="1">IFERROR(__xludf.DUMMYFUNCTION("""COMPUTED_VALUE"""),0)</f>
        <v>0</v>
      </c>
      <c r="H2" s="23">
        <f ca="1">IFERROR(__xludf.DUMMYFUNCTION("""COMPUTED_VALUE"""),0)</f>
        <v>0</v>
      </c>
      <c r="I2" s="23">
        <f ca="1">IFERROR(__xludf.DUMMYFUNCTION("""COMPUTED_VALUE"""),0)</f>
        <v>0</v>
      </c>
      <c r="J2" s="23">
        <f ca="1">IFERROR(__xludf.DUMMYFUNCTION("""COMPUTED_VALUE"""),0)</f>
        <v>0</v>
      </c>
      <c r="K2" s="23">
        <f ca="1">IFERROR(__xludf.DUMMYFUNCTION("""COMPUTED_VALUE"""),0)</f>
        <v>0</v>
      </c>
      <c r="L2" s="23">
        <f ca="1">IFERROR(__xludf.DUMMYFUNCTION("""COMPUTED_VALUE"""),0)</f>
        <v>0</v>
      </c>
      <c r="M2" s="23">
        <f ca="1">IFERROR(__xludf.DUMMYFUNCTION("""COMPUTED_VALUE"""),0)</f>
        <v>0</v>
      </c>
      <c r="N2" s="23">
        <f ca="1">IFERROR(__xludf.DUMMYFUNCTION("""COMPUTED_VALUE"""),0)</f>
        <v>0</v>
      </c>
      <c r="O2" s="23">
        <f ca="1">IFERROR(__xludf.DUMMYFUNCTION("""COMPUTED_VALUE"""),0)</f>
        <v>0</v>
      </c>
      <c r="P2" s="23">
        <f ca="1">IFERROR(__xludf.DUMMYFUNCTION("""COMPUTED_VALUE"""),0)</f>
        <v>0</v>
      </c>
      <c r="Q2" s="23">
        <f ca="1">IFERROR(__xludf.DUMMYFUNCTION("""COMPUTED_VALUE"""),0)</f>
        <v>0</v>
      </c>
      <c r="R2" s="23">
        <f ca="1">IFERROR(__xludf.DUMMYFUNCTION("""COMPUTED_VALUE"""),0)</f>
        <v>0</v>
      </c>
      <c r="S2" s="23">
        <f ca="1">IFERROR(__xludf.DUMMYFUNCTION("""COMPUTED_VALUE"""),0)</f>
        <v>0</v>
      </c>
    </row>
    <row r="3" spans="1:19">
      <c r="A3" s="23" t="str">
        <f ca="1">IFERROR(__xludf.DUMMYFUNCTION("""COMPUTED_VALUE"""),"AUDITORIA EN PROCESO")</f>
        <v>AUDITORIA EN PROCESO</v>
      </c>
      <c r="B3" s="23">
        <f ca="1">IFERROR(__xludf.DUMMYFUNCTION("""COMPUTED_VALUE"""),1)</f>
        <v>1</v>
      </c>
      <c r="C3" s="23" t="str">
        <f ca="1">IFERROR(__xludf.DUMMYFUNCTION("""COMPUTED_VALUE"""),"AUDITORIAS")</f>
        <v>AUDITORIAS</v>
      </c>
      <c r="D3" s="23" t="str">
        <f ca="1">IFERROR(__xludf.DUMMYFUNCTION("""COMPUTED_VALUE"""),"ASCENDENTE")</f>
        <v>ASCENDENTE</v>
      </c>
      <c r="E3" s="23" t="str">
        <f ca="1">IFERROR(__xludf.DUMMYFUNCTION("""COMPUTED_VALUE"""),"BITACORA OPERATIVA")</f>
        <v>BITACORA OPERATIVA</v>
      </c>
      <c r="F3" s="23">
        <f ca="1">IFERROR(__xludf.DUMMYFUNCTION("""COMPUTED_VALUE"""),0)</f>
        <v>0</v>
      </c>
      <c r="G3" s="23">
        <f ca="1">IFERROR(__xludf.DUMMYFUNCTION("""COMPUTED_VALUE"""),0)</f>
        <v>0</v>
      </c>
      <c r="H3" s="23">
        <f ca="1">IFERROR(__xludf.DUMMYFUNCTION("""COMPUTED_VALUE"""),0)</f>
        <v>0</v>
      </c>
      <c r="I3" s="23">
        <f ca="1">IFERROR(__xludf.DUMMYFUNCTION("""COMPUTED_VALUE"""),0)</f>
        <v>0</v>
      </c>
      <c r="J3" s="23">
        <f ca="1">IFERROR(__xludf.DUMMYFUNCTION("""COMPUTED_VALUE"""),0)</f>
        <v>0</v>
      </c>
      <c r="K3" s="23">
        <f ca="1">IFERROR(__xludf.DUMMYFUNCTION("""COMPUTED_VALUE"""),0)</f>
        <v>0</v>
      </c>
      <c r="L3" s="23">
        <f ca="1">IFERROR(__xludf.DUMMYFUNCTION("""COMPUTED_VALUE"""),0)</f>
        <v>0</v>
      </c>
      <c r="M3" s="23">
        <f ca="1">IFERROR(__xludf.DUMMYFUNCTION("""COMPUTED_VALUE"""),0)</f>
        <v>0</v>
      </c>
      <c r="N3" s="23">
        <f ca="1">IFERROR(__xludf.DUMMYFUNCTION("""COMPUTED_VALUE"""),0)</f>
        <v>0</v>
      </c>
      <c r="O3" s="23">
        <f ca="1">IFERROR(__xludf.DUMMYFUNCTION("""COMPUTED_VALUE"""),0)</f>
        <v>0</v>
      </c>
      <c r="P3" s="23">
        <f ca="1">IFERROR(__xludf.DUMMYFUNCTION("""COMPUTED_VALUE"""),0)</f>
        <v>0</v>
      </c>
      <c r="Q3" s="23">
        <f ca="1">IFERROR(__xludf.DUMMYFUNCTION("""COMPUTED_VALUE"""),0)</f>
        <v>0</v>
      </c>
      <c r="R3" s="23">
        <f ca="1">IFERROR(__xludf.DUMMYFUNCTION("""COMPUTED_VALUE"""),0)</f>
        <v>0</v>
      </c>
      <c r="S3" s="23">
        <f ca="1">IFERROR(__xludf.DUMMYFUNCTION("""COMPUTED_VALUE"""),0)</f>
        <v>0</v>
      </c>
    </row>
    <row r="4" spans="1:19">
      <c r="A4" s="23" t="str">
        <f ca="1">IFERROR(__xludf.DUMMYFUNCTION("""COMPUTED_VALUE"""),"ACTA CIRCUNSTANCIADA VERIFICADIÓN  FÍSICA")</f>
        <v>ACTA CIRCUNSTANCIADA VERIFICADIÓN  FÍSICA</v>
      </c>
      <c r="B4" s="23">
        <f ca="1">IFERROR(__xludf.DUMMYFUNCTION("""COMPUTED_VALUE"""),1)</f>
        <v>1</v>
      </c>
      <c r="C4" s="23" t="str">
        <f ca="1">IFERROR(__xludf.DUMMYFUNCTION("""COMPUTED_VALUE"""),"ACTAS ")</f>
        <v xml:space="preserve">ACTAS </v>
      </c>
      <c r="D4" s="23" t="str">
        <f ca="1">IFERROR(__xludf.DUMMYFUNCTION("""COMPUTED_VALUE"""),"ASCENDENTE")</f>
        <v>ASCENDENTE</v>
      </c>
      <c r="E4" s="23" t="str">
        <f ca="1">IFERROR(__xludf.DUMMYFUNCTION("""COMPUTED_VALUE"""),"BITACORA OPERATIVA")</f>
        <v>BITACORA OPERATIVA</v>
      </c>
      <c r="F4" s="23">
        <f ca="1">IFERROR(__xludf.DUMMYFUNCTION("""COMPUTED_VALUE"""),0)</f>
        <v>0</v>
      </c>
      <c r="G4" s="23">
        <f ca="1">IFERROR(__xludf.DUMMYFUNCTION("""COMPUTED_VALUE"""),0)</f>
        <v>0</v>
      </c>
      <c r="H4" s="23">
        <f ca="1">IFERROR(__xludf.DUMMYFUNCTION("""COMPUTED_VALUE"""),0)</f>
        <v>0</v>
      </c>
      <c r="I4" s="23">
        <f ca="1">IFERROR(__xludf.DUMMYFUNCTION("""COMPUTED_VALUE"""),0)</f>
        <v>0</v>
      </c>
      <c r="J4" s="23">
        <f ca="1">IFERROR(__xludf.DUMMYFUNCTION("""COMPUTED_VALUE"""),0)</f>
        <v>0</v>
      </c>
      <c r="K4" s="23">
        <f ca="1">IFERROR(__xludf.DUMMYFUNCTION("""COMPUTED_VALUE"""),0)</f>
        <v>0</v>
      </c>
      <c r="L4" s="23">
        <f ca="1">IFERROR(__xludf.DUMMYFUNCTION("""COMPUTED_VALUE"""),0)</f>
        <v>0</v>
      </c>
      <c r="M4" s="23">
        <f ca="1">IFERROR(__xludf.DUMMYFUNCTION("""COMPUTED_VALUE"""),0)</f>
        <v>0</v>
      </c>
      <c r="N4" s="23">
        <f ca="1">IFERROR(__xludf.DUMMYFUNCTION("""COMPUTED_VALUE"""),0)</f>
        <v>0</v>
      </c>
      <c r="O4" s="23">
        <f ca="1">IFERROR(__xludf.DUMMYFUNCTION("""COMPUTED_VALUE"""),0)</f>
        <v>0</v>
      </c>
      <c r="P4" s="23">
        <f ca="1">IFERROR(__xludf.DUMMYFUNCTION("""COMPUTED_VALUE"""),0)</f>
        <v>0</v>
      </c>
      <c r="Q4" s="23">
        <f ca="1">IFERROR(__xludf.DUMMYFUNCTION("""COMPUTED_VALUE"""),0)</f>
        <v>0</v>
      </c>
      <c r="R4" s="23">
        <f ca="1">IFERROR(__xludf.DUMMYFUNCTION("""COMPUTED_VALUE"""),0)</f>
        <v>0</v>
      </c>
      <c r="S4" s="23">
        <f ca="1">IFERROR(__xludf.DUMMYFUNCTION("""COMPUTED_VALUE"""),0)</f>
        <v>0</v>
      </c>
    </row>
    <row r="5" spans="1:19">
      <c r="A5" s="23" t="str">
        <f ca="1">IFERROR(__xludf.DUMMYFUNCTION("""COMPUTED_VALUE"""),"MEMORIA FOTOGRAFICAS")</f>
        <v>MEMORIA FOTOGRAFICAS</v>
      </c>
      <c r="B5" s="23">
        <f ca="1">IFERROR(__xludf.DUMMYFUNCTION("""COMPUTED_VALUE"""),1)</f>
        <v>1</v>
      </c>
      <c r="C5" s="23" t="str">
        <f ca="1">IFERROR(__xludf.DUMMYFUNCTION("""COMPUTED_VALUE"""),"UNIDADES")</f>
        <v>UNIDADES</v>
      </c>
      <c r="D5" s="23" t="str">
        <f ca="1">IFERROR(__xludf.DUMMYFUNCTION("""COMPUTED_VALUE"""),"ASCENDENTE")</f>
        <v>ASCENDENTE</v>
      </c>
      <c r="E5" s="23" t="str">
        <f ca="1">IFERROR(__xludf.DUMMYFUNCTION("""COMPUTED_VALUE"""),"BITACORA OPERATIVA")</f>
        <v>BITACORA OPERATIVA</v>
      </c>
      <c r="F5" s="23">
        <f ca="1">IFERROR(__xludf.DUMMYFUNCTION("""COMPUTED_VALUE"""),0)</f>
        <v>0</v>
      </c>
      <c r="G5" s="23">
        <f ca="1">IFERROR(__xludf.DUMMYFUNCTION("""COMPUTED_VALUE"""),0)</f>
        <v>0</v>
      </c>
      <c r="H5" s="23">
        <f ca="1">IFERROR(__xludf.DUMMYFUNCTION("""COMPUTED_VALUE"""),0)</f>
        <v>0</v>
      </c>
      <c r="I5" s="23">
        <f ca="1">IFERROR(__xludf.DUMMYFUNCTION("""COMPUTED_VALUE"""),0)</f>
        <v>0</v>
      </c>
      <c r="J5" s="23">
        <f ca="1">IFERROR(__xludf.DUMMYFUNCTION("""COMPUTED_VALUE"""),0)</f>
        <v>0</v>
      </c>
      <c r="K5" s="23">
        <f ca="1">IFERROR(__xludf.DUMMYFUNCTION("""COMPUTED_VALUE"""),0)</f>
        <v>0</v>
      </c>
      <c r="L5" s="23">
        <f ca="1">IFERROR(__xludf.DUMMYFUNCTION("""COMPUTED_VALUE"""),0)</f>
        <v>0</v>
      </c>
      <c r="M5" s="23">
        <f ca="1">IFERROR(__xludf.DUMMYFUNCTION("""COMPUTED_VALUE"""),0)</f>
        <v>0</v>
      </c>
      <c r="N5" s="23">
        <f ca="1">IFERROR(__xludf.DUMMYFUNCTION("""COMPUTED_VALUE"""),0)</f>
        <v>0</v>
      </c>
      <c r="O5" s="23">
        <f ca="1">IFERROR(__xludf.DUMMYFUNCTION("""COMPUTED_VALUE"""),0)</f>
        <v>0</v>
      </c>
      <c r="P5" s="23">
        <f ca="1">IFERROR(__xludf.DUMMYFUNCTION("""COMPUTED_VALUE"""),0)</f>
        <v>0</v>
      </c>
      <c r="Q5" s="23">
        <f ca="1">IFERROR(__xludf.DUMMYFUNCTION("""COMPUTED_VALUE"""),0)</f>
        <v>0</v>
      </c>
      <c r="R5" s="23">
        <f ca="1">IFERROR(__xludf.DUMMYFUNCTION("""COMPUTED_VALUE"""),0)</f>
        <v>0</v>
      </c>
      <c r="S5" s="23">
        <f ca="1">IFERROR(__xludf.DUMMYFUNCTION("""COMPUTED_VALUE"""),0)</f>
        <v>0</v>
      </c>
    </row>
    <row r="6" spans="1:19">
      <c r="A6" s="23" t="str">
        <f ca="1">IFERROR(__xludf.DUMMYFUNCTION("""COMPUTED_VALUE"""),"CÉDULAS DE VERIIFCACIÓN")</f>
        <v>CÉDULAS DE VERIIFCACIÓN</v>
      </c>
      <c r="B6" s="23">
        <f ca="1">IFERROR(__xludf.DUMMYFUNCTION("""COMPUTED_VALUE"""),1)</f>
        <v>1</v>
      </c>
      <c r="C6" s="23" t="str">
        <f ca="1">IFERROR(__xludf.DUMMYFUNCTION("""COMPUTED_VALUE"""),"CEDULAS")</f>
        <v>CEDULAS</v>
      </c>
      <c r="D6" s="23" t="str">
        <f ca="1">IFERROR(__xludf.DUMMYFUNCTION("""COMPUTED_VALUE"""),"ASCENDENTE")</f>
        <v>ASCENDENTE</v>
      </c>
      <c r="E6" s="23" t="str">
        <f ca="1">IFERROR(__xludf.DUMMYFUNCTION("""COMPUTED_VALUE"""),"BITACORA OPERATIVA")</f>
        <v>BITACORA OPERATIVA</v>
      </c>
      <c r="F6" s="23">
        <f ca="1">IFERROR(__xludf.DUMMYFUNCTION("""COMPUTED_VALUE"""),0)</f>
        <v>0</v>
      </c>
      <c r="G6" s="23">
        <f ca="1">IFERROR(__xludf.DUMMYFUNCTION("""COMPUTED_VALUE"""),0)</f>
        <v>0</v>
      </c>
      <c r="H6" s="23">
        <f ca="1">IFERROR(__xludf.DUMMYFUNCTION("""COMPUTED_VALUE"""),0)</f>
        <v>0</v>
      </c>
      <c r="I6" s="23">
        <f ca="1">IFERROR(__xludf.DUMMYFUNCTION("""COMPUTED_VALUE"""),0)</f>
        <v>0</v>
      </c>
      <c r="J6" s="23">
        <f ca="1">IFERROR(__xludf.DUMMYFUNCTION("""COMPUTED_VALUE"""),0)</f>
        <v>0</v>
      </c>
      <c r="K6" s="23">
        <f ca="1">IFERROR(__xludf.DUMMYFUNCTION("""COMPUTED_VALUE"""),0)</f>
        <v>0</v>
      </c>
      <c r="L6" s="23">
        <f ca="1">IFERROR(__xludf.DUMMYFUNCTION("""COMPUTED_VALUE"""),0)</f>
        <v>0</v>
      </c>
      <c r="M6" s="23">
        <f ca="1">IFERROR(__xludf.DUMMYFUNCTION("""COMPUTED_VALUE"""),0)</f>
        <v>0</v>
      </c>
      <c r="N6" s="23">
        <f ca="1">IFERROR(__xludf.DUMMYFUNCTION("""COMPUTED_VALUE"""),0)</f>
        <v>0</v>
      </c>
      <c r="O6" s="23">
        <f ca="1">IFERROR(__xludf.DUMMYFUNCTION("""COMPUTED_VALUE"""),0)</f>
        <v>0</v>
      </c>
      <c r="P6" s="23">
        <f ca="1">IFERROR(__xludf.DUMMYFUNCTION("""COMPUTED_VALUE"""),0)</f>
        <v>0</v>
      </c>
      <c r="Q6" s="23">
        <f ca="1">IFERROR(__xludf.DUMMYFUNCTION("""COMPUTED_VALUE"""),0)</f>
        <v>0</v>
      </c>
      <c r="R6" s="23">
        <f ca="1">IFERROR(__xludf.DUMMYFUNCTION("""COMPUTED_VALUE"""),0)</f>
        <v>0</v>
      </c>
      <c r="S6" s="23">
        <f ca="1">IFERROR(__xludf.DUMMYFUNCTION("""COMPUTED_VALUE"""),0)</f>
        <v>0</v>
      </c>
    </row>
    <row r="7" spans="1:19">
      <c r="A7" s="23" t="str">
        <f ca="1">IFERROR(__xludf.DUMMYFUNCTION("""COMPUTED_VALUE"""),"DOCUMENTOS EVALUADOS")</f>
        <v>DOCUMENTOS EVALUADOS</v>
      </c>
      <c r="B7" s="23">
        <f ca="1">IFERROR(__xludf.DUMMYFUNCTION("""COMPUTED_VALUE"""),1)</f>
        <v>1</v>
      </c>
      <c r="C7" s="23" t="str">
        <f ca="1">IFERROR(__xludf.DUMMYFUNCTION("""COMPUTED_VALUE"""),"DOCUMENTOS EVALUADOS")</f>
        <v>DOCUMENTOS EVALUADOS</v>
      </c>
      <c r="D7" s="23" t="str">
        <f ca="1">IFERROR(__xludf.DUMMYFUNCTION("""COMPUTED_VALUE"""),"ASCENDENTE")</f>
        <v>ASCENDENTE</v>
      </c>
      <c r="E7" s="23" t="str">
        <f ca="1">IFERROR(__xludf.DUMMYFUNCTION("""COMPUTED_VALUE"""),"BITACORA OPERATIVA")</f>
        <v>BITACORA OPERATIVA</v>
      </c>
      <c r="F7" s="23">
        <f ca="1">IFERROR(__xludf.DUMMYFUNCTION("""COMPUTED_VALUE"""),0)</f>
        <v>0</v>
      </c>
      <c r="G7" s="23">
        <f ca="1">IFERROR(__xludf.DUMMYFUNCTION("""COMPUTED_VALUE"""),0)</f>
        <v>0</v>
      </c>
      <c r="H7" s="23">
        <f ca="1">IFERROR(__xludf.DUMMYFUNCTION("""COMPUTED_VALUE"""),0)</f>
        <v>0</v>
      </c>
      <c r="I7" s="23">
        <f ca="1">IFERROR(__xludf.DUMMYFUNCTION("""COMPUTED_VALUE"""),0)</f>
        <v>0</v>
      </c>
      <c r="J7" s="23">
        <f ca="1">IFERROR(__xludf.DUMMYFUNCTION("""COMPUTED_VALUE"""),0)</f>
        <v>0</v>
      </c>
      <c r="K7" s="23">
        <f ca="1">IFERROR(__xludf.DUMMYFUNCTION("""COMPUTED_VALUE"""),0)</f>
        <v>0</v>
      </c>
      <c r="L7" s="23">
        <f ca="1">IFERROR(__xludf.DUMMYFUNCTION("""COMPUTED_VALUE"""),0)</f>
        <v>0</v>
      </c>
      <c r="M7" s="23">
        <f ca="1">IFERROR(__xludf.DUMMYFUNCTION("""COMPUTED_VALUE"""),0)</f>
        <v>0</v>
      </c>
      <c r="N7" s="23">
        <f ca="1">IFERROR(__xludf.DUMMYFUNCTION("""COMPUTED_VALUE"""),0)</f>
        <v>0</v>
      </c>
      <c r="O7" s="23">
        <f ca="1">IFERROR(__xludf.DUMMYFUNCTION("""COMPUTED_VALUE"""),0)</f>
        <v>0</v>
      </c>
      <c r="P7" s="23">
        <f ca="1">IFERROR(__xludf.DUMMYFUNCTION("""COMPUTED_VALUE"""),0)</f>
        <v>0</v>
      </c>
      <c r="Q7" s="23">
        <f ca="1">IFERROR(__xludf.DUMMYFUNCTION("""COMPUTED_VALUE"""),0)</f>
        <v>0</v>
      </c>
      <c r="R7" s="23">
        <f ca="1">IFERROR(__xludf.DUMMYFUNCTION("""COMPUTED_VALUE"""),0)</f>
        <v>0</v>
      </c>
      <c r="S7" s="23">
        <f ca="1">IFERROR(__xludf.DUMMYFUNCTION("""COMPUTED_VALUE"""),0)</f>
        <v>0</v>
      </c>
    </row>
    <row r="8" spans="1:19">
      <c r="A8" s="23" t="str">
        <f ca="1">IFERROR(__xludf.DUMMYFUNCTION("""COMPUTED_VALUE"""),"OBSERVACIONES DE RESULTADOS DE DESEMPEÑO")</f>
        <v>OBSERVACIONES DE RESULTADOS DE DESEMPEÑO</v>
      </c>
      <c r="B8" s="23">
        <f ca="1">IFERROR(__xludf.DUMMYFUNCTION("""COMPUTED_VALUE"""),1)</f>
        <v>1</v>
      </c>
      <c r="C8" s="23" t="str">
        <f ca="1">IFERROR(__xludf.DUMMYFUNCTION("""COMPUTED_VALUE"""),"OBSERVACIONES")</f>
        <v>OBSERVACIONES</v>
      </c>
      <c r="D8" s="23" t="str">
        <f ca="1">IFERROR(__xludf.DUMMYFUNCTION("""COMPUTED_VALUE"""),"ASCENDENTE")</f>
        <v>ASCENDENTE</v>
      </c>
      <c r="E8" s="23" t="str">
        <f ca="1">IFERROR(__xludf.DUMMYFUNCTION("""COMPUTED_VALUE"""),"BITACORA OPERATIVA")</f>
        <v>BITACORA OPERATIVA</v>
      </c>
      <c r="F8" s="23">
        <f ca="1">IFERROR(__xludf.DUMMYFUNCTION("""COMPUTED_VALUE"""),0)</f>
        <v>0</v>
      </c>
      <c r="G8" s="23">
        <f ca="1">IFERROR(__xludf.DUMMYFUNCTION("""COMPUTED_VALUE"""),0)</f>
        <v>0</v>
      </c>
      <c r="H8" s="23">
        <f ca="1">IFERROR(__xludf.DUMMYFUNCTION("""COMPUTED_VALUE"""),0)</f>
        <v>0</v>
      </c>
      <c r="I8" s="23">
        <f ca="1">IFERROR(__xludf.DUMMYFUNCTION("""COMPUTED_VALUE"""),0)</f>
        <v>0</v>
      </c>
      <c r="J8" s="23">
        <f ca="1">IFERROR(__xludf.DUMMYFUNCTION("""COMPUTED_VALUE"""),0)</f>
        <v>0</v>
      </c>
      <c r="K8" s="23">
        <f ca="1">IFERROR(__xludf.DUMMYFUNCTION("""COMPUTED_VALUE"""),0)</f>
        <v>0</v>
      </c>
      <c r="L8" s="23">
        <f ca="1">IFERROR(__xludf.DUMMYFUNCTION("""COMPUTED_VALUE"""),0)</f>
        <v>0</v>
      </c>
      <c r="M8" s="23">
        <f ca="1">IFERROR(__xludf.DUMMYFUNCTION("""COMPUTED_VALUE"""),0)</f>
        <v>0</v>
      </c>
      <c r="N8" s="23">
        <f ca="1">IFERROR(__xludf.DUMMYFUNCTION("""COMPUTED_VALUE"""),0)</f>
        <v>0</v>
      </c>
      <c r="O8" s="23">
        <f ca="1">IFERROR(__xludf.DUMMYFUNCTION("""COMPUTED_VALUE"""),0)</f>
        <v>0</v>
      </c>
      <c r="P8" s="23">
        <f ca="1">IFERROR(__xludf.DUMMYFUNCTION("""COMPUTED_VALUE"""),0)</f>
        <v>0</v>
      </c>
      <c r="Q8" s="23">
        <f ca="1">IFERROR(__xludf.DUMMYFUNCTION("""COMPUTED_VALUE"""),0)</f>
        <v>0</v>
      </c>
      <c r="R8" s="23">
        <f ca="1">IFERROR(__xludf.DUMMYFUNCTION("""COMPUTED_VALUE"""),0)</f>
        <v>0</v>
      </c>
      <c r="S8" s="23">
        <f ca="1">IFERROR(__xludf.DUMMYFUNCTION("""COMPUTED_VALUE"""),0)</f>
        <v>0</v>
      </c>
    </row>
    <row r="9" spans="1:19">
      <c r="A9" s="23" t="str">
        <f ca="1">IFERROR(__xludf.DUMMYFUNCTION("""COMPUTED_VALUE"""),"AUDITORIA FINALIZADA")</f>
        <v>AUDITORIA FINALIZADA</v>
      </c>
      <c r="B9" s="23">
        <f ca="1">IFERROR(__xludf.DUMMYFUNCTION("""COMPUTED_VALUE"""),1)</f>
        <v>1</v>
      </c>
      <c r="C9" s="23" t="str">
        <f ca="1">IFERROR(__xludf.DUMMYFUNCTION("""COMPUTED_VALUE"""),"AUDITORIAS FINALIZADAS")</f>
        <v>AUDITORIAS FINALIZADAS</v>
      </c>
      <c r="D9" s="23" t="str">
        <f ca="1">IFERROR(__xludf.DUMMYFUNCTION("""COMPUTED_VALUE"""),"ASCENDENTE")</f>
        <v>ASCENDENTE</v>
      </c>
      <c r="E9" s="23" t="str">
        <f ca="1">IFERROR(__xludf.DUMMYFUNCTION("""COMPUTED_VALUE"""),"BITACORA OPERATIVA")</f>
        <v>BITACORA OPERATIVA</v>
      </c>
      <c r="F9" s="23">
        <f ca="1">IFERROR(__xludf.DUMMYFUNCTION("""COMPUTED_VALUE"""),100)</f>
        <v>100</v>
      </c>
      <c r="G9" s="23">
        <f ca="1">IFERROR(__xludf.DUMMYFUNCTION("""COMPUTED_VALUE"""),0)</f>
        <v>0</v>
      </c>
      <c r="H9" s="23">
        <f ca="1">IFERROR(__xludf.DUMMYFUNCTION("""COMPUTED_VALUE"""),0)</f>
        <v>0</v>
      </c>
      <c r="I9" s="23">
        <f ca="1">IFERROR(__xludf.DUMMYFUNCTION("""COMPUTED_VALUE"""),0)</f>
        <v>0</v>
      </c>
      <c r="J9" s="23">
        <f ca="1">IFERROR(__xludf.DUMMYFUNCTION("""COMPUTED_VALUE"""),1)</f>
        <v>1</v>
      </c>
      <c r="K9" s="23">
        <f ca="1">IFERROR(__xludf.DUMMYFUNCTION("""COMPUTED_VALUE"""),0)</f>
        <v>0</v>
      </c>
      <c r="L9" s="23">
        <f ca="1">IFERROR(__xludf.DUMMYFUNCTION("""COMPUTED_VALUE"""),0)</f>
        <v>0</v>
      </c>
      <c r="M9" s="23">
        <f ca="1">IFERROR(__xludf.DUMMYFUNCTION("""COMPUTED_VALUE"""),0)</f>
        <v>0</v>
      </c>
      <c r="N9" s="23">
        <f ca="1">IFERROR(__xludf.DUMMYFUNCTION("""COMPUTED_VALUE"""),0)</f>
        <v>0</v>
      </c>
      <c r="O9" s="23">
        <f ca="1">IFERROR(__xludf.DUMMYFUNCTION("""COMPUTED_VALUE"""),0)</f>
        <v>0</v>
      </c>
      <c r="P9" s="23">
        <f ca="1">IFERROR(__xludf.DUMMYFUNCTION("""COMPUTED_VALUE"""),0)</f>
        <v>0</v>
      </c>
      <c r="Q9" s="23">
        <f ca="1">IFERROR(__xludf.DUMMYFUNCTION("""COMPUTED_VALUE"""),0)</f>
        <v>0</v>
      </c>
      <c r="R9" s="23">
        <f ca="1">IFERROR(__xludf.DUMMYFUNCTION("""COMPUTED_VALUE"""),0)</f>
        <v>0</v>
      </c>
      <c r="S9" s="23">
        <f ca="1">IFERROR(__xludf.DUMMYFUNCTION("""COMPUTED_VALUE"""),1)</f>
        <v>1</v>
      </c>
    </row>
    <row r="10" spans="1:19">
      <c r="A10" s="23" t="str">
        <f ca="1">IFERROR(__xludf.DUMMYFUNCTION("""COMPUTED_VALUE"""),"AUDITORÍA A DELEGACIONES (FLUJO DE EFECTIVO EN CAJAS CHICAS Y RECEPCIÓN DE PAGOS) ")</f>
        <v xml:space="preserve">AUDITORÍA A DELEGACIONES (FLUJO DE EFECTIVO EN CAJAS CHICAS Y RECEPCIÓN DE PAGOS) </v>
      </c>
      <c r="B10" s="23">
        <f ca="1">IFERROR(__xludf.DUMMYFUNCTION("""COMPUTED_VALUE"""),1)</f>
        <v>1</v>
      </c>
      <c r="C10" s="23" t="str">
        <f ca="1">IFERROR(__xludf.DUMMYFUNCTION("""COMPUTED_VALUE"""),"AUDITORIAS")</f>
        <v>AUDITORIAS</v>
      </c>
      <c r="D10" s="23" t="str">
        <f ca="1">IFERROR(__xludf.DUMMYFUNCTION("""COMPUTED_VALUE"""),"ASCENDENTE")</f>
        <v>ASCENDENTE</v>
      </c>
      <c r="E10" s="23" t="str">
        <f ca="1">IFERROR(__xludf.DUMMYFUNCTION("""COMPUTED_VALUE"""),"BITACORA OPERATIVA")</f>
        <v>BITACORA OPERATIVA</v>
      </c>
      <c r="F10" s="23">
        <f ca="1">IFERROR(__xludf.DUMMYFUNCTION("""COMPUTED_VALUE"""),0)</f>
        <v>0</v>
      </c>
      <c r="G10" s="23">
        <f ca="1">IFERROR(__xludf.DUMMYFUNCTION("""COMPUTED_VALUE"""),0)</f>
        <v>0</v>
      </c>
      <c r="H10" s="23">
        <f ca="1">IFERROR(__xludf.DUMMYFUNCTION("""COMPUTED_VALUE"""),0)</f>
        <v>0</v>
      </c>
      <c r="I10" s="23">
        <f ca="1">IFERROR(__xludf.DUMMYFUNCTION("""COMPUTED_VALUE"""),0)</f>
        <v>0</v>
      </c>
      <c r="J10" s="23">
        <f ca="1">IFERROR(__xludf.DUMMYFUNCTION("""COMPUTED_VALUE"""),0)</f>
        <v>0</v>
      </c>
      <c r="K10" s="23">
        <f ca="1">IFERROR(__xludf.DUMMYFUNCTION("""COMPUTED_VALUE"""),0)</f>
        <v>0</v>
      </c>
      <c r="L10" s="23">
        <f ca="1">IFERROR(__xludf.DUMMYFUNCTION("""COMPUTED_VALUE"""),0)</f>
        <v>0</v>
      </c>
      <c r="M10" s="23">
        <f ca="1">IFERROR(__xludf.DUMMYFUNCTION("""COMPUTED_VALUE"""),0)</f>
        <v>0</v>
      </c>
      <c r="N10" s="23">
        <f ca="1">IFERROR(__xludf.DUMMYFUNCTION("""COMPUTED_VALUE"""),0)</f>
        <v>0</v>
      </c>
      <c r="O10" s="23">
        <f ca="1">IFERROR(__xludf.DUMMYFUNCTION("""COMPUTED_VALUE"""),0)</f>
        <v>0</v>
      </c>
      <c r="P10" s="23">
        <f ca="1">IFERROR(__xludf.DUMMYFUNCTION("""COMPUTED_VALUE"""),0)</f>
        <v>0</v>
      </c>
      <c r="Q10" s="23">
        <f ca="1">IFERROR(__xludf.DUMMYFUNCTION("""COMPUTED_VALUE"""),0)</f>
        <v>0</v>
      </c>
      <c r="R10" s="23">
        <f ca="1">IFERROR(__xludf.DUMMYFUNCTION("""COMPUTED_VALUE"""),0)</f>
        <v>0</v>
      </c>
      <c r="S10" s="23">
        <f ca="1">IFERROR(__xludf.DUMMYFUNCTION("""COMPUTED_VALUE"""),0)</f>
        <v>0</v>
      </c>
    </row>
    <row r="11" spans="1:19">
      <c r="A11" s="23" t="str">
        <f ca="1">IFERROR(__xludf.DUMMYFUNCTION("""COMPUTED_VALUE"""),"AUDITORÍA DE RECURSOS FEDERALES Y ESTATALES (PROGRAMAS DESTINADOS AL FORTALECIMIENTO MUNICIPAL)  ")</f>
        <v xml:space="preserve">AUDITORÍA DE RECURSOS FEDERALES Y ESTATALES (PROGRAMAS DESTINADOS AL FORTALECIMIENTO MUNICIPAL)  </v>
      </c>
      <c r="B11" s="23">
        <f ca="1">IFERROR(__xludf.DUMMYFUNCTION("""COMPUTED_VALUE"""),1)</f>
        <v>1</v>
      </c>
      <c r="C11" s="23" t="str">
        <f ca="1">IFERROR(__xludf.DUMMYFUNCTION("""COMPUTED_VALUE"""),"AUDITORIAS")</f>
        <v>AUDITORIAS</v>
      </c>
      <c r="D11" s="23" t="str">
        <f ca="1">IFERROR(__xludf.DUMMYFUNCTION("""COMPUTED_VALUE"""),"ASCENDENTE")</f>
        <v>ASCENDENTE</v>
      </c>
      <c r="E11" s="23" t="str">
        <f ca="1">IFERROR(__xludf.DUMMYFUNCTION("""COMPUTED_VALUE"""),"BITACORA OPERATIVA")</f>
        <v>BITACORA OPERATIVA</v>
      </c>
      <c r="F11" s="23">
        <f ca="1">IFERROR(__xludf.DUMMYFUNCTION("""COMPUTED_VALUE"""),0)</f>
        <v>0</v>
      </c>
      <c r="G11" s="23">
        <f ca="1">IFERROR(__xludf.DUMMYFUNCTION("""COMPUTED_VALUE"""),0)</f>
        <v>0</v>
      </c>
      <c r="H11" s="23">
        <f ca="1">IFERROR(__xludf.DUMMYFUNCTION("""COMPUTED_VALUE"""),0)</f>
        <v>0</v>
      </c>
      <c r="I11" s="23">
        <f ca="1">IFERROR(__xludf.DUMMYFUNCTION("""COMPUTED_VALUE"""),0)</f>
        <v>0</v>
      </c>
      <c r="J11" s="23">
        <f ca="1">IFERROR(__xludf.DUMMYFUNCTION("""COMPUTED_VALUE"""),0)</f>
        <v>0</v>
      </c>
      <c r="K11" s="23">
        <f ca="1">IFERROR(__xludf.DUMMYFUNCTION("""COMPUTED_VALUE"""),0)</f>
        <v>0</v>
      </c>
      <c r="L11" s="23">
        <f ca="1">IFERROR(__xludf.DUMMYFUNCTION("""COMPUTED_VALUE"""),0)</f>
        <v>0</v>
      </c>
      <c r="M11" s="23">
        <f ca="1">IFERROR(__xludf.DUMMYFUNCTION("""COMPUTED_VALUE"""),0)</f>
        <v>0</v>
      </c>
      <c r="N11" s="23">
        <f ca="1">IFERROR(__xludf.DUMMYFUNCTION("""COMPUTED_VALUE"""),0)</f>
        <v>0</v>
      </c>
      <c r="O11" s="23">
        <f ca="1">IFERROR(__xludf.DUMMYFUNCTION("""COMPUTED_VALUE"""),0)</f>
        <v>0</v>
      </c>
      <c r="P11" s="23">
        <f ca="1">IFERROR(__xludf.DUMMYFUNCTION("""COMPUTED_VALUE"""),0)</f>
        <v>0</v>
      </c>
      <c r="Q11" s="23">
        <f ca="1">IFERROR(__xludf.DUMMYFUNCTION("""COMPUTED_VALUE"""),0)</f>
        <v>0</v>
      </c>
      <c r="R11" s="23">
        <f ca="1">IFERROR(__xludf.DUMMYFUNCTION("""COMPUTED_VALUE"""),0)</f>
        <v>0</v>
      </c>
      <c r="S11" s="23">
        <f ca="1">IFERROR(__xludf.DUMMYFUNCTION("""COMPUTED_VALUE"""),0)</f>
        <v>0</v>
      </c>
    </row>
    <row r="12" spans="1:19">
      <c r="A12" s="23" t="str">
        <f ca="1">IFERROR(__xludf.DUMMYFUNCTION("""COMPUTED_VALUE"""),"AUDITORÍA DE PROCEDIMIENTOS (REGISTRO CIVIL, LICENCIAS, MULTAS, Y RECARGOS)")</f>
        <v>AUDITORÍA DE PROCEDIMIENTOS (REGISTRO CIVIL, LICENCIAS, MULTAS, Y RECARGOS)</v>
      </c>
      <c r="B12" s="23">
        <f ca="1">IFERROR(__xludf.DUMMYFUNCTION("""COMPUTED_VALUE"""),1)</f>
        <v>1</v>
      </c>
      <c r="C12" s="23" t="str">
        <f ca="1">IFERROR(__xludf.DUMMYFUNCTION("""COMPUTED_VALUE"""),"AUDITORIAS")</f>
        <v>AUDITORIAS</v>
      </c>
      <c r="D12" s="23" t="str">
        <f ca="1">IFERROR(__xludf.DUMMYFUNCTION("""COMPUTED_VALUE"""),"ASCENDENTE")</f>
        <v>ASCENDENTE</v>
      </c>
      <c r="E12" s="23" t="str">
        <f ca="1">IFERROR(__xludf.DUMMYFUNCTION("""COMPUTED_VALUE"""),"BITACORA OPERATIVA")</f>
        <v>BITACORA OPERATIVA</v>
      </c>
      <c r="F12" s="23">
        <f ca="1">IFERROR(__xludf.DUMMYFUNCTION("""COMPUTED_VALUE"""),0)</f>
        <v>0</v>
      </c>
      <c r="G12" s="23">
        <f ca="1">IFERROR(__xludf.DUMMYFUNCTION("""COMPUTED_VALUE"""),0)</f>
        <v>0</v>
      </c>
      <c r="H12" s="23">
        <f ca="1">IFERROR(__xludf.DUMMYFUNCTION("""COMPUTED_VALUE"""),0)</f>
        <v>0</v>
      </c>
      <c r="I12" s="23">
        <f ca="1">IFERROR(__xludf.DUMMYFUNCTION("""COMPUTED_VALUE"""),0)</f>
        <v>0</v>
      </c>
      <c r="J12" s="23">
        <f ca="1">IFERROR(__xludf.DUMMYFUNCTION("""COMPUTED_VALUE"""),0)</f>
        <v>0</v>
      </c>
      <c r="K12" s="23">
        <f ca="1">IFERROR(__xludf.DUMMYFUNCTION("""COMPUTED_VALUE"""),0)</f>
        <v>0</v>
      </c>
      <c r="L12" s="23">
        <f ca="1">IFERROR(__xludf.DUMMYFUNCTION("""COMPUTED_VALUE"""),0)</f>
        <v>0</v>
      </c>
      <c r="M12" s="23">
        <f ca="1">IFERROR(__xludf.DUMMYFUNCTION("""COMPUTED_VALUE"""),0)</f>
        <v>0</v>
      </c>
      <c r="N12" s="23">
        <f ca="1">IFERROR(__xludf.DUMMYFUNCTION("""COMPUTED_VALUE"""),0)</f>
        <v>0</v>
      </c>
      <c r="O12" s="23">
        <f ca="1">IFERROR(__xludf.DUMMYFUNCTION("""COMPUTED_VALUE"""),0)</f>
        <v>0</v>
      </c>
      <c r="P12" s="23">
        <f ca="1">IFERROR(__xludf.DUMMYFUNCTION("""COMPUTED_VALUE"""),0)</f>
        <v>0</v>
      </c>
      <c r="Q12" s="23">
        <f ca="1">IFERROR(__xludf.DUMMYFUNCTION("""COMPUTED_VALUE"""),0)</f>
        <v>0</v>
      </c>
      <c r="R12" s="23">
        <f ca="1">IFERROR(__xludf.DUMMYFUNCTION("""COMPUTED_VALUE"""),0)</f>
        <v>0</v>
      </c>
      <c r="S12" s="23">
        <f ca="1">IFERROR(__xludf.DUMMYFUNCTION("""COMPUTED_VALUE"""),0)</f>
        <v>0</v>
      </c>
    </row>
    <row r="13" spans="1:19">
      <c r="A13" s="23" t="str">
        <f ca="1">IFERROR(__xludf.DUMMYFUNCTION("""COMPUTED_VALUE"""),"AUDITORÍA DE CAJAS EN TESORERÍA (EMISIÓN DE COMPROBANTES, REGLAMENTACIÓN, Y RESGUARDO DE INFORMACIÓN)")</f>
        <v>AUDITORÍA DE CAJAS EN TESORERÍA (EMISIÓN DE COMPROBANTES, REGLAMENTACIÓN, Y RESGUARDO DE INFORMACIÓN)</v>
      </c>
      <c r="B13" s="23">
        <f ca="1">IFERROR(__xludf.DUMMYFUNCTION("""COMPUTED_VALUE"""),1)</f>
        <v>1</v>
      </c>
      <c r="C13" s="23" t="str">
        <f ca="1">IFERROR(__xludf.DUMMYFUNCTION("""COMPUTED_VALUE"""),"AUDITORIAS")</f>
        <v>AUDITORIAS</v>
      </c>
      <c r="D13" s="23" t="str">
        <f ca="1">IFERROR(__xludf.DUMMYFUNCTION("""COMPUTED_VALUE"""),"ASCENDENTE")</f>
        <v>ASCENDENTE</v>
      </c>
      <c r="E13" s="23" t="str">
        <f ca="1">IFERROR(__xludf.DUMMYFUNCTION("""COMPUTED_VALUE"""),"BITACORA OPERATIVA")</f>
        <v>BITACORA OPERATIVA</v>
      </c>
      <c r="F13" s="23">
        <f ca="1">IFERROR(__xludf.DUMMYFUNCTION("""COMPUTED_VALUE"""),0)</f>
        <v>0</v>
      </c>
      <c r="G13" s="23">
        <f ca="1">IFERROR(__xludf.DUMMYFUNCTION("""COMPUTED_VALUE"""),0)</f>
        <v>0</v>
      </c>
      <c r="H13" s="23">
        <f ca="1">IFERROR(__xludf.DUMMYFUNCTION("""COMPUTED_VALUE"""),0)</f>
        <v>0</v>
      </c>
      <c r="I13" s="23">
        <f ca="1">IFERROR(__xludf.DUMMYFUNCTION("""COMPUTED_VALUE"""),0)</f>
        <v>0</v>
      </c>
      <c r="J13" s="23">
        <f ca="1">IFERROR(__xludf.DUMMYFUNCTION("""COMPUTED_VALUE"""),0)</f>
        <v>0</v>
      </c>
      <c r="K13" s="23">
        <f ca="1">IFERROR(__xludf.DUMMYFUNCTION("""COMPUTED_VALUE"""),0)</f>
        <v>0</v>
      </c>
      <c r="L13" s="23">
        <f ca="1">IFERROR(__xludf.DUMMYFUNCTION("""COMPUTED_VALUE"""),0)</f>
        <v>0</v>
      </c>
      <c r="M13" s="23">
        <f ca="1">IFERROR(__xludf.DUMMYFUNCTION("""COMPUTED_VALUE"""),0)</f>
        <v>0</v>
      </c>
      <c r="N13" s="23">
        <f ca="1">IFERROR(__xludf.DUMMYFUNCTION("""COMPUTED_VALUE"""),0)</f>
        <v>0</v>
      </c>
      <c r="O13" s="23">
        <f ca="1">IFERROR(__xludf.DUMMYFUNCTION("""COMPUTED_VALUE"""),0)</f>
        <v>0</v>
      </c>
      <c r="P13" s="23">
        <f ca="1">IFERROR(__xludf.DUMMYFUNCTION("""COMPUTED_VALUE"""),0)</f>
        <v>0</v>
      </c>
      <c r="Q13" s="23">
        <f ca="1">IFERROR(__xludf.DUMMYFUNCTION("""COMPUTED_VALUE"""),0)</f>
        <v>0</v>
      </c>
      <c r="R13" s="23">
        <f ca="1">IFERROR(__xludf.DUMMYFUNCTION("""COMPUTED_VALUE"""),0)</f>
        <v>0</v>
      </c>
      <c r="S13" s="23">
        <f ca="1">IFERROR(__xludf.DUMMYFUNCTION("""COMPUTED_VALUE"""),0)</f>
        <v>0</v>
      </c>
    </row>
    <row r="14" spans="1:19">
      <c r="A14" s="23" t="str">
        <f ca="1">IFERROR(__xludf.DUMMYFUNCTION("""COMPUTED_VALUE"""),"AUDITORÍA DEL PATRIMONIO MUNICIPAL (BIENES MUEBLES E INMUEBLES)")</f>
        <v>AUDITORÍA DEL PATRIMONIO MUNICIPAL (BIENES MUEBLES E INMUEBLES)</v>
      </c>
      <c r="B14" s="23">
        <f ca="1">IFERROR(__xludf.DUMMYFUNCTION("""COMPUTED_VALUE"""),1)</f>
        <v>1</v>
      </c>
      <c r="C14" s="23" t="str">
        <f ca="1">IFERROR(__xludf.DUMMYFUNCTION("""COMPUTED_VALUE"""),"AUDITORIAS")</f>
        <v>AUDITORIAS</v>
      </c>
      <c r="D14" s="23" t="str">
        <f ca="1">IFERROR(__xludf.DUMMYFUNCTION("""COMPUTED_VALUE"""),"ASCENDENTE")</f>
        <v>ASCENDENTE</v>
      </c>
      <c r="E14" s="23" t="str">
        <f ca="1">IFERROR(__xludf.DUMMYFUNCTION("""COMPUTED_VALUE"""),"BITACORA OPERATIVA")</f>
        <v>BITACORA OPERATIVA</v>
      </c>
      <c r="F14" s="23">
        <f ca="1">IFERROR(__xludf.DUMMYFUNCTION("""COMPUTED_VALUE"""),0)</f>
        <v>0</v>
      </c>
      <c r="G14" s="23">
        <f ca="1">IFERROR(__xludf.DUMMYFUNCTION("""COMPUTED_VALUE"""),0)</f>
        <v>0</v>
      </c>
      <c r="H14" s="23">
        <f ca="1">IFERROR(__xludf.DUMMYFUNCTION("""COMPUTED_VALUE"""),0)</f>
        <v>0</v>
      </c>
      <c r="I14" s="23">
        <f ca="1">IFERROR(__xludf.DUMMYFUNCTION("""COMPUTED_VALUE"""),0)</f>
        <v>0</v>
      </c>
      <c r="J14" s="23">
        <f ca="1">IFERROR(__xludf.DUMMYFUNCTION("""COMPUTED_VALUE"""),0)</f>
        <v>0</v>
      </c>
      <c r="K14" s="23">
        <f ca="1">IFERROR(__xludf.DUMMYFUNCTION("""COMPUTED_VALUE"""),0)</f>
        <v>0</v>
      </c>
      <c r="L14" s="23">
        <f ca="1">IFERROR(__xludf.DUMMYFUNCTION("""COMPUTED_VALUE"""),0)</f>
        <v>0</v>
      </c>
      <c r="M14" s="23">
        <f ca="1">IFERROR(__xludf.DUMMYFUNCTION("""COMPUTED_VALUE"""),0)</f>
        <v>0</v>
      </c>
      <c r="N14" s="23">
        <f ca="1">IFERROR(__xludf.DUMMYFUNCTION("""COMPUTED_VALUE"""),0)</f>
        <v>0</v>
      </c>
      <c r="O14" s="23">
        <f ca="1">IFERROR(__xludf.DUMMYFUNCTION("""COMPUTED_VALUE"""),0)</f>
        <v>0</v>
      </c>
      <c r="P14" s="23">
        <f ca="1">IFERROR(__xludf.DUMMYFUNCTION("""COMPUTED_VALUE"""),0)</f>
        <v>0</v>
      </c>
      <c r="Q14" s="23">
        <f ca="1">IFERROR(__xludf.DUMMYFUNCTION("""COMPUTED_VALUE"""),0)</f>
        <v>0</v>
      </c>
      <c r="R14" s="23">
        <f ca="1">IFERROR(__xludf.DUMMYFUNCTION("""COMPUTED_VALUE"""),0)</f>
        <v>0</v>
      </c>
      <c r="S14" s="23">
        <f ca="1">IFERROR(__xludf.DUMMYFUNCTION("""COMPUTED_VALUE"""),0)</f>
        <v>0</v>
      </c>
    </row>
    <row r="15" spans="1:19">
      <c r="A15" s="23" t="str">
        <f ca="1">IFERROR(__xludf.DUMMYFUNCTION("""COMPUTED_VALUE"""),"DECLARACIÓN PATRIMONIAL, INTERÉS Y FÍSCAL INICIALES")</f>
        <v>DECLARACIÓN PATRIMONIAL, INTERÉS Y FÍSCAL INICIALES</v>
      </c>
      <c r="B15" s="23">
        <f ca="1">IFERROR(__xludf.DUMMYFUNCTION("""COMPUTED_VALUE"""),1)</f>
        <v>1</v>
      </c>
      <c r="C15" s="23" t="str">
        <f ca="1">IFERROR(__xludf.DUMMYFUNCTION("""COMPUTED_VALUE"""),"DECLARACIONES ")</f>
        <v xml:space="preserve">DECLARACIONES </v>
      </c>
      <c r="D15" s="23" t="str">
        <f ca="1">IFERROR(__xludf.DUMMYFUNCTION("""COMPUTED_VALUE"""),"ASCENDENTE")</f>
        <v>ASCENDENTE</v>
      </c>
      <c r="E15" s="23" t="str">
        <f ca="1">IFERROR(__xludf.DUMMYFUNCTION("""COMPUTED_VALUE"""),"BITACORA OPERATIVA")</f>
        <v>BITACORA OPERATIVA</v>
      </c>
      <c r="F15" s="23">
        <f ca="1">IFERROR(__xludf.DUMMYFUNCTION("""COMPUTED_VALUE"""),3800)</f>
        <v>3800</v>
      </c>
      <c r="G15" s="23">
        <f ca="1">IFERROR(__xludf.DUMMYFUNCTION("""COMPUTED_VALUE"""),0)</f>
        <v>0</v>
      </c>
      <c r="H15" s="23">
        <f ca="1">IFERROR(__xludf.DUMMYFUNCTION("""COMPUTED_VALUE"""),0)</f>
        <v>0</v>
      </c>
      <c r="I15" s="23">
        <f ca="1">IFERROR(__xludf.DUMMYFUNCTION("""COMPUTED_VALUE"""),0)</f>
        <v>0</v>
      </c>
      <c r="J15" s="23">
        <f ca="1">IFERROR(__xludf.DUMMYFUNCTION("""COMPUTED_VALUE"""),38)</f>
        <v>38</v>
      </c>
      <c r="K15" s="23">
        <f ca="1">IFERROR(__xludf.DUMMYFUNCTION("""COMPUTED_VALUE"""),0)</f>
        <v>0</v>
      </c>
      <c r="L15" s="23">
        <f ca="1">IFERROR(__xludf.DUMMYFUNCTION("""COMPUTED_VALUE"""),0)</f>
        <v>0</v>
      </c>
      <c r="M15" s="23">
        <f ca="1">IFERROR(__xludf.DUMMYFUNCTION("""COMPUTED_VALUE"""),0)</f>
        <v>0</v>
      </c>
      <c r="N15" s="23">
        <f ca="1">IFERROR(__xludf.DUMMYFUNCTION("""COMPUTED_VALUE"""),0)</f>
        <v>0</v>
      </c>
      <c r="O15" s="23">
        <f ca="1">IFERROR(__xludf.DUMMYFUNCTION("""COMPUTED_VALUE"""),0)</f>
        <v>0</v>
      </c>
      <c r="P15" s="23">
        <f ca="1">IFERROR(__xludf.DUMMYFUNCTION("""COMPUTED_VALUE"""),0)</f>
        <v>0</v>
      </c>
      <c r="Q15" s="23">
        <f ca="1">IFERROR(__xludf.DUMMYFUNCTION("""COMPUTED_VALUE"""),0)</f>
        <v>0</v>
      </c>
      <c r="R15" s="23">
        <f ca="1">IFERROR(__xludf.DUMMYFUNCTION("""COMPUTED_VALUE"""),0)</f>
        <v>0</v>
      </c>
      <c r="S15" s="23">
        <f ca="1">IFERROR(__xludf.DUMMYFUNCTION("""COMPUTED_VALUE"""),38)</f>
        <v>38</v>
      </c>
    </row>
    <row r="16" spans="1:19">
      <c r="A16" s="23" t="str">
        <f ca="1">IFERROR(__xludf.DUMMYFUNCTION("""COMPUTED_VALUE"""),"DECLARACIONES PATRIMONIALES DE CONCLUSIÓN")</f>
        <v>DECLARACIONES PATRIMONIALES DE CONCLUSIÓN</v>
      </c>
      <c r="B16" s="23">
        <f ca="1">IFERROR(__xludf.DUMMYFUNCTION("""COMPUTED_VALUE"""),1)</f>
        <v>1</v>
      </c>
      <c r="C16" s="23" t="str">
        <f ca="1">IFERROR(__xludf.DUMMYFUNCTION("""COMPUTED_VALUE"""),"DECLARACIONES ")</f>
        <v xml:space="preserve">DECLARACIONES </v>
      </c>
      <c r="D16" s="23" t="str">
        <f ca="1">IFERROR(__xludf.DUMMYFUNCTION("""COMPUTED_VALUE"""),"ASCENDENTE")</f>
        <v>ASCENDENTE</v>
      </c>
      <c r="E16" s="23" t="str">
        <f ca="1">IFERROR(__xludf.DUMMYFUNCTION("""COMPUTED_VALUE"""),"BITACORA OPERATIVA")</f>
        <v>BITACORA OPERATIVA</v>
      </c>
      <c r="F16" s="23">
        <f ca="1">IFERROR(__xludf.DUMMYFUNCTION("""COMPUTED_VALUE"""),1000)</f>
        <v>1000</v>
      </c>
      <c r="G16" s="23">
        <f ca="1">IFERROR(__xludf.DUMMYFUNCTION("""COMPUTED_VALUE"""),0)</f>
        <v>0</v>
      </c>
      <c r="H16" s="23">
        <f ca="1">IFERROR(__xludf.DUMMYFUNCTION("""COMPUTED_VALUE"""),0)</f>
        <v>0</v>
      </c>
      <c r="I16" s="23">
        <f ca="1">IFERROR(__xludf.DUMMYFUNCTION("""COMPUTED_VALUE"""),0)</f>
        <v>0</v>
      </c>
      <c r="J16" s="23">
        <f ca="1">IFERROR(__xludf.DUMMYFUNCTION("""COMPUTED_VALUE"""),10)</f>
        <v>10</v>
      </c>
      <c r="K16" s="23">
        <f ca="1">IFERROR(__xludf.DUMMYFUNCTION("""COMPUTED_VALUE"""),0)</f>
        <v>0</v>
      </c>
      <c r="L16" s="23">
        <f ca="1">IFERROR(__xludf.DUMMYFUNCTION("""COMPUTED_VALUE"""),0)</f>
        <v>0</v>
      </c>
      <c r="M16" s="23">
        <f ca="1">IFERROR(__xludf.DUMMYFUNCTION("""COMPUTED_VALUE"""),0)</f>
        <v>0</v>
      </c>
      <c r="N16" s="23">
        <f ca="1">IFERROR(__xludf.DUMMYFUNCTION("""COMPUTED_VALUE"""),0)</f>
        <v>0</v>
      </c>
      <c r="O16" s="23">
        <f ca="1">IFERROR(__xludf.DUMMYFUNCTION("""COMPUTED_VALUE"""),0)</f>
        <v>0</v>
      </c>
      <c r="P16" s="23">
        <f ca="1">IFERROR(__xludf.DUMMYFUNCTION("""COMPUTED_VALUE"""),0)</f>
        <v>0</v>
      </c>
      <c r="Q16" s="23">
        <f ca="1">IFERROR(__xludf.DUMMYFUNCTION("""COMPUTED_VALUE"""),0)</f>
        <v>0</v>
      </c>
      <c r="R16" s="23">
        <f ca="1">IFERROR(__xludf.DUMMYFUNCTION("""COMPUTED_VALUE"""),0)</f>
        <v>0</v>
      </c>
      <c r="S16" s="23">
        <f ca="1">IFERROR(__xludf.DUMMYFUNCTION("""COMPUTED_VALUE"""),10)</f>
        <v>10</v>
      </c>
    </row>
    <row r="17" spans="1:19">
      <c r="A17" s="23" t="str">
        <f ca="1">IFERROR(__xludf.DUMMYFUNCTION("""COMPUTED_VALUE"""),"PROCEDIMIENTOS ADMINISTRATIVOS INICIADOS")</f>
        <v>PROCEDIMIENTOS ADMINISTRATIVOS INICIADOS</v>
      </c>
      <c r="B17" s="23">
        <f ca="1">IFERROR(__xludf.DUMMYFUNCTION("""COMPUTED_VALUE"""),1)</f>
        <v>1</v>
      </c>
      <c r="C17" s="23" t="str">
        <f ca="1">IFERROR(__xludf.DUMMYFUNCTION("""COMPUTED_VALUE"""),"DECLARACIONES ")</f>
        <v xml:space="preserve">DECLARACIONES </v>
      </c>
      <c r="D17" s="23" t="str">
        <f ca="1">IFERROR(__xludf.DUMMYFUNCTION("""COMPUTED_VALUE"""),"ASCENDENTE")</f>
        <v>ASCENDENTE</v>
      </c>
      <c r="E17" s="23" t="str">
        <f ca="1">IFERROR(__xludf.DUMMYFUNCTION("""COMPUTED_VALUE"""),"BITACORA OPERATIVA")</f>
        <v>BITACORA OPERATIVA</v>
      </c>
      <c r="F17" s="23">
        <f ca="1">IFERROR(__xludf.DUMMYFUNCTION("""COMPUTED_VALUE"""),0)</f>
        <v>0</v>
      </c>
      <c r="G17" s="23">
        <f ca="1">IFERROR(__xludf.DUMMYFUNCTION("""COMPUTED_VALUE"""),0)</f>
        <v>0</v>
      </c>
      <c r="H17" s="23">
        <f ca="1">IFERROR(__xludf.DUMMYFUNCTION("""COMPUTED_VALUE"""),0)</f>
        <v>0</v>
      </c>
      <c r="I17" s="23">
        <f ca="1">IFERROR(__xludf.DUMMYFUNCTION("""COMPUTED_VALUE"""),0)</f>
        <v>0</v>
      </c>
      <c r="J17" s="23">
        <f ca="1">IFERROR(__xludf.DUMMYFUNCTION("""COMPUTED_VALUE"""),0)</f>
        <v>0</v>
      </c>
      <c r="K17" s="23">
        <f ca="1">IFERROR(__xludf.DUMMYFUNCTION("""COMPUTED_VALUE"""),0)</f>
        <v>0</v>
      </c>
      <c r="L17" s="23">
        <f ca="1">IFERROR(__xludf.DUMMYFUNCTION("""COMPUTED_VALUE"""),0)</f>
        <v>0</v>
      </c>
      <c r="M17" s="23">
        <f ca="1">IFERROR(__xludf.DUMMYFUNCTION("""COMPUTED_VALUE"""),0)</f>
        <v>0</v>
      </c>
      <c r="N17" s="23">
        <f ca="1">IFERROR(__xludf.DUMMYFUNCTION("""COMPUTED_VALUE"""),0)</f>
        <v>0</v>
      </c>
      <c r="O17" s="23">
        <f ca="1">IFERROR(__xludf.DUMMYFUNCTION("""COMPUTED_VALUE"""),0)</f>
        <v>0</v>
      </c>
      <c r="P17" s="23">
        <f ca="1">IFERROR(__xludf.DUMMYFUNCTION("""COMPUTED_VALUE"""),0)</f>
        <v>0</v>
      </c>
      <c r="Q17" s="23">
        <f ca="1">IFERROR(__xludf.DUMMYFUNCTION("""COMPUTED_VALUE"""),0)</f>
        <v>0</v>
      </c>
      <c r="R17" s="23">
        <f ca="1">IFERROR(__xludf.DUMMYFUNCTION("""COMPUTED_VALUE"""),0)</f>
        <v>0</v>
      </c>
      <c r="S17" s="23">
        <f ca="1">IFERROR(__xludf.DUMMYFUNCTION("""COMPUTED_VALUE"""),0)</f>
        <v>0</v>
      </c>
    </row>
    <row r="18" spans="1:19">
      <c r="A18" s="23" t="str">
        <f ca="1">IFERROR(__xludf.DUMMYFUNCTION("""COMPUTED_VALUE"""),"PROCEDIMIENTOS ADMINISTRATIVOS EN PROCESO")</f>
        <v>PROCEDIMIENTOS ADMINISTRATIVOS EN PROCESO</v>
      </c>
      <c r="B18" s="23">
        <f ca="1">IFERROR(__xludf.DUMMYFUNCTION("""COMPUTED_VALUE"""),1)</f>
        <v>1</v>
      </c>
      <c r="C18" s="23" t="str">
        <f ca="1">IFERROR(__xludf.DUMMYFUNCTION("""COMPUTED_VALUE"""),"DECLARACIONES ")</f>
        <v xml:space="preserve">DECLARACIONES </v>
      </c>
      <c r="D18" s="23" t="str">
        <f ca="1">IFERROR(__xludf.DUMMYFUNCTION("""COMPUTED_VALUE"""),"ASCENDENTE")</f>
        <v>ASCENDENTE</v>
      </c>
      <c r="E18" s="23" t="str">
        <f ca="1">IFERROR(__xludf.DUMMYFUNCTION("""COMPUTED_VALUE"""),"BITACORA OPERATIVA")</f>
        <v>BITACORA OPERATIVA</v>
      </c>
      <c r="F18" s="23">
        <f ca="1">IFERROR(__xludf.DUMMYFUNCTION("""COMPUTED_VALUE"""),0)</f>
        <v>0</v>
      </c>
      <c r="G18" s="23">
        <f ca="1">IFERROR(__xludf.DUMMYFUNCTION("""COMPUTED_VALUE"""),0)</f>
        <v>0</v>
      </c>
      <c r="H18" s="23">
        <f ca="1">IFERROR(__xludf.DUMMYFUNCTION("""COMPUTED_VALUE"""),0)</f>
        <v>0</v>
      </c>
      <c r="I18" s="23">
        <f ca="1">IFERROR(__xludf.DUMMYFUNCTION("""COMPUTED_VALUE"""),0)</f>
        <v>0</v>
      </c>
      <c r="J18" s="23">
        <f ca="1">IFERROR(__xludf.DUMMYFUNCTION("""COMPUTED_VALUE"""),0)</f>
        <v>0</v>
      </c>
      <c r="K18" s="23">
        <f ca="1">IFERROR(__xludf.DUMMYFUNCTION("""COMPUTED_VALUE"""),0)</f>
        <v>0</v>
      </c>
      <c r="L18" s="23">
        <f ca="1">IFERROR(__xludf.DUMMYFUNCTION("""COMPUTED_VALUE"""),0)</f>
        <v>0</v>
      </c>
      <c r="M18" s="23">
        <f ca="1">IFERROR(__xludf.DUMMYFUNCTION("""COMPUTED_VALUE"""),0)</f>
        <v>0</v>
      </c>
      <c r="N18" s="23">
        <f ca="1">IFERROR(__xludf.DUMMYFUNCTION("""COMPUTED_VALUE"""),0)</f>
        <v>0</v>
      </c>
      <c r="O18" s="23">
        <f ca="1">IFERROR(__xludf.DUMMYFUNCTION("""COMPUTED_VALUE"""),0)</f>
        <v>0</v>
      </c>
      <c r="P18" s="23">
        <f ca="1">IFERROR(__xludf.DUMMYFUNCTION("""COMPUTED_VALUE"""),0)</f>
        <v>0</v>
      </c>
      <c r="Q18" s="23">
        <f ca="1">IFERROR(__xludf.DUMMYFUNCTION("""COMPUTED_VALUE"""),0)</f>
        <v>0</v>
      </c>
      <c r="R18" s="23">
        <f ca="1">IFERROR(__xludf.DUMMYFUNCTION("""COMPUTED_VALUE"""),0)</f>
        <v>0</v>
      </c>
      <c r="S18" s="23">
        <f ca="1">IFERROR(__xludf.DUMMYFUNCTION("""COMPUTED_VALUE"""),0)</f>
        <v>0</v>
      </c>
    </row>
    <row r="19" spans="1:19">
      <c r="A19" s="23" t="str">
        <f ca="1">IFERROR(__xludf.DUMMYFUNCTION("""COMPUTED_VALUE"""),"PROCEDIMIENTOS ADMINISTRATIVOS TERMINADOS")</f>
        <v>PROCEDIMIENTOS ADMINISTRATIVOS TERMINADOS</v>
      </c>
      <c r="B19" s="23">
        <f ca="1">IFERROR(__xludf.DUMMYFUNCTION("""COMPUTED_VALUE"""),1)</f>
        <v>1</v>
      </c>
      <c r="C19" s="23" t="str">
        <f ca="1">IFERROR(__xludf.DUMMYFUNCTION("""COMPUTED_VALUE"""),"DECLARACIONES ")</f>
        <v xml:space="preserve">DECLARACIONES </v>
      </c>
      <c r="D19" s="23" t="str">
        <f ca="1">IFERROR(__xludf.DUMMYFUNCTION("""COMPUTED_VALUE"""),"ASCENDENTE")</f>
        <v>ASCENDENTE</v>
      </c>
      <c r="E19" s="23" t="str">
        <f ca="1">IFERROR(__xludf.DUMMYFUNCTION("""COMPUTED_VALUE"""),"BITACORA OPERATIVA")</f>
        <v>BITACORA OPERATIVA</v>
      </c>
      <c r="F19" s="23">
        <f ca="1">IFERROR(__xludf.DUMMYFUNCTION("""COMPUTED_VALUE"""),100)</f>
        <v>100</v>
      </c>
      <c r="G19" s="23">
        <f ca="1">IFERROR(__xludf.DUMMYFUNCTION("""COMPUTED_VALUE"""),0)</f>
        <v>0</v>
      </c>
      <c r="H19" s="23">
        <f ca="1">IFERROR(__xludf.DUMMYFUNCTION("""COMPUTED_VALUE"""),0)</f>
        <v>0</v>
      </c>
      <c r="I19" s="23">
        <f ca="1">IFERROR(__xludf.DUMMYFUNCTION("""COMPUTED_VALUE"""),0)</f>
        <v>0</v>
      </c>
      <c r="J19" s="23">
        <f ca="1">IFERROR(__xludf.DUMMYFUNCTION("""COMPUTED_VALUE"""),1)</f>
        <v>1</v>
      </c>
      <c r="K19" s="23">
        <f ca="1">IFERROR(__xludf.DUMMYFUNCTION("""COMPUTED_VALUE"""),0)</f>
        <v>0</v>
      </c>
      <c r="L19" s="23">
        <f ca="1">IFERROR(__xludf.DUMMYFUNCTION("""COMPUTED_VALUE"""),0)</f>
        <v>0</v>
      </c>
      <c r="M19" s="23">
        <f ca="1">IFERROR(__xludf.DUMMYFUNCTION("""COMPUTED_VALUE"""),0)</f>
        <v>0</v>
      </c>
      <c r="N19" s="23">
        <f ca="1">IFERROR(__xludf.DUMMYFUNCTION("""COMPUTED_VALUE"""),0)</f>
        <v>0</v>
      </c>
      <c r="O19" s="23">
        <f ca="1">IFERROR(__xludf.DUMMYFUNCTION("""COMPUTED_VALUE"""),0)</f>
        <v>0</v>
      </c>
      <c r="P19" s="23">
        <f ca="1">IFERROR(__xludf.DUMMYFUNCTION("""COMPUTED_VALUE"""),0)</f>
        <v>0</v>
      </c>
      <c r="Q19" s="23">
        <f ca="1">IFERROR(__xludf.DUMMYFUNCTION("""COMPUTED_VALUE"""),0)</f>
        <v>0</v>
      </c>
      <c r="R19" s="23">
        <f ca="1">IFERROR(__xludf.DUMMYFUNCTION("""COMPUTED_VALUE"""),0)</f>
        <v>0</v>
      </c>
      <c r="S19" s="23">
        <f ca="1">IFERROR(__xludf.DUMMYFUNCTION("""COMPUTED_VALUE"""),1)</f>
        <v>1</v>
      </c>
    </row>
    <row r="20" spans="1:19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</row>
    <row r="21" spans="1:19">
      <c r="A21" s="23"/>
      <c r="B21" s="23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</row>
    <row r="22" spans="1:19">
      <c r="A22" s="23"/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</row>
    <row r="23" spans="1:19">
      <c r="A23" s="23"/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</row>
    <row r="24" spans="1:19">
      <c r="A24" s="23"/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</row>
    <row r="25" spans="1:19">
      <c r="A25" s="23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</row>
    <row r="26" spans="1:19">
      <c r="A26" s="23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</row>
    <row r="27" spans="1:19">
      <c r="A27" s="23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</row>
    <row r="28" spans="1:19">
      <c r="A28" s="23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</row>
    <row r="29" spans="1:19">
      <c r="A29" s="23"/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</row>
    <row r="30" spans="1:19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</row>
    <row r="31" spans="1:19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</row>
    <row r="32" spans="1:19">
      <c r="A32" s="23"/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</row>
    <row r="33" spans="1:19">
      <c r="A33" s="23"/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</row>
    <row r="34" spans="1:19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</row>
    <row r="35" spans="1:19">
      <c r="A35" s="23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</row>
    <row r="36" spans="1:19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</row>
    <row r="37" spans="1:19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</row>
    <row r="38" spans="1:19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</row>
    <row r="39" spans="1:19">
      <c r="A39" s="23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</row>
    <row r="41" spans="1:19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</row>
    <row r="42" spans="1:19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</row>
    <row r="43" spans="1:19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</row>
    <row r="44" spans="1:19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</row>
    <row r="45" spans="1:19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</row>
    <row r="46" spans="1:19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</row>
    <row r="47" spans="1:19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</row>
    <row r="48" spans="1:19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</row>
    <row r="49" spans="1:19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</row>
    <row r="50" spans="1:19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</row>
    <row r="51" spans="1:19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</row>
    <row r="52" spans="1:19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</row>
    <row r="53" spans="1:19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</row>
    <row r="54" spans="1:19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</row>
    <row r="55" spans="1:19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</row>
    <row r="56" spans="1:19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</row>
    <row r="57" spans="1:19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</row>
    <row r="58" spans="1:19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</row>
    <row r="59" spans="1:19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</row>
    <row r="60" spans="1:19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</row>
    <row r="61" spans="1:19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</row>
    <row r="62" spans="1:19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</row>
    <row r="63" spans="1:19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</row>
    <row r="64" spans="1:19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</row>
    <row r="65" spans="1:19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</row>
    <row r="66" spans="1:19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</row>
    <row r="67" spans="1:19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</row>
    <row r="68" spans="1:19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</row>
    <row r="69" spans="1:19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</row>
    <row r="70" spans="1:19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</row>
    <row r="71" spans="1:19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</row>
    <row r="72" spans="1:19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</row>
    <row r="73" spans="1:19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</row>
    <row r="74" spans="1:19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</row>
    <row r="75" spans="1:19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</row>
    <row r="76" spans="1:19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</row>
    <row r="77" spans="1:19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</row>
    <row r="78" spans="1:19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</row>
    <row r="79" spans="1:19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</row>
    <row r="80" spans="1:19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</row>
    <row r="81" spans="1:19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</row>
    <row r="82" spans="1:19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</row>
    <row r="83" spans="1:19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</row>
    <row r="84" spans="1:19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</row>
    <row r="85" spans="1:19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</row>
    <row r="86" spans="1:19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</row>
    <row r="87" spans="1:19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</row>
    <row r="88" spans="1:19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</row>
    <row r="89" spans="1:19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</row>
    <row r="90" spans="1:19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</row>
    <row r="91" spans="1:19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</row>
    <row r="92" spans="1:19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</row>
    <row r="93" spans="1:19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</row>
    <row r="94" spans="1:19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</row>
    <row r="95" spans="1:19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</row>
    <row r="96" spans="1:19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</row>
    <row r="97" spans="1:19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</row>
    <row r="98" spans="1:19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</row>
    <row r="99" spans="1:19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</row>
    <row r="100" spans="1:19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</row>
    <row r="101" spans="1:19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</row>
    <row r="102" spans="1:19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</row>
    <row r="103" spans="1:19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</row>
    <row r="104" spans="1:19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</row>
    <row r="105" spans="1:19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</row>
    <row r="106" spans="1:19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</row>
    <row r="107" spans="1:19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</row>
    <row r="108" spans="1:19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</row>
    <row r="109" spans="1:19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</row>
    <row r="110" spans="1:19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</row>
    <row r="111" spans="1:19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</row>
    <row r="112" spans="1:19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</row>
    <row r="113" spans="1:19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</row>
    <row r="114" spans="1:19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</row>
    <row r="115" spans="1:19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</row>
    <row r="116" spans="1:19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</row>
    <row r="117" spans="1:19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</row>
    <row r="118" spans="1:19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</row>
    <row r="119" spans="1:19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</row>
    <row r="120" spans="1:19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</row>
    <row r="121" spans="1:19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</row>
    <row r="122" spans="1:19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</row>
    <row r="123" spans="1:19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</row>
    <row r="124" spans="1:19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</row>
    <row r="125" spans="1:19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</row>
    <row r="126" spans="1:19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</row>
    <row r="127" spans="1:19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</row>
    <row r="128" spans="1:19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</row>
    <row r="129" spans="1:19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</row>
    <row r="130" spans="1:19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</row>
    <row r="131" spans="1:19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</row>
    <row r="132" spans="1:19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</row>
    <row r="133" spans="1:19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</row>
    <row r="134" spans="1:19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</row>
    <row r="135" spans="1:19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</row>
    <row r="136" spans="1:19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</row>
    <row r="137" spans="1:19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</row>
    <row r="138" spans="1:19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</row>
    <row r="139" spans="1:19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</row>
    <row r="140" spans="1:19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</row>
    <row r="141" spans="1:19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</row>
    <row r="142" spans="1:19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</row>
    <row r="143" spans="1:19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</row>
    <row r="144" spans="1:19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</row>
    <row r="145" spans="1:19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</row>
    <row r="146" spans="1:19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</row>
    <row r="147" spans="1:19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</row>
    <row r="148" spans="1:19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</row>
    <row r="149" spans="1:19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</row>
    <row r="150" spans="1:19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</row>
    <row r="151" spans="1:19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</row>
    <row r="152" spans="1:19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</row>
    <row r="153" spans="1:19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</row>
    <row r="154" spans="1:19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</row>
    <row r="155" spans="1:19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</row>
    <row r="156" spans="1:19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</row>
    <row r="157" spans="1:19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</row>
    <row r="158" spans="1:19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</row>
    <row r="159" spans="1:19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</row>
    <row r="160" spans="1:19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</row>
    <row r="161" spans="1:19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</row>
    <row r="162" spans="1:19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</row>
    <row r="163" spans="1:19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</row>
    <row r="164" spans="1:19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</row>
    <row r="165" spans="1:19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</row>
    <row r="166" spans="1:19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</row>
    <row r="167" spans="1:19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</row>
    <row r="168" spans="1:19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</row>
    <row r="169" spans="1:19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</row>
    <row r="170" spans="1:19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</row>
    <row r="171" spans="1:19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</row>
    <row r="172" spans="1:19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</row>
    <row r="173" spans="1:19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</row>
    <row r="174" spans="1:19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</row>
    <row r="175" spans="1:19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</row>
    <row r="176" spans="1:19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</row>
    <row r="177" spans="1:19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</row>
    <row r="178" spans="1:19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</row>
    <row r="179" spans="1:19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</row>
    <row r="180" spans="1:19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</row>
    <row r="181" spans="1:19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</row>
    <row r="182" spans="1:19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</row>
    <row r="183" spans="1:19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</row>
    <row r="184" spans="1:19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</row>
    <row r="185" spans="1:19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</row>
    <row r="186" spans="1:19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</row>
    <row r="187" spans="1:19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</row>
    <row r="188" spans="1:19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</row>
    <row r="189" spans="1:19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</row>
    <row r="190" spans="1:19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</row>
    <row r="191" spans="1:19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</row>
    <row r="192" spans="1:19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</row>
    <row r="193" spans="1:19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</row>
    <row r="194" spans="1:19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</row>
    <row r="195" spans="1:19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</row>
    <row r="196" spans="1:19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</row>
    <row r="197" spans="1:19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</row>
    <row r="198" spans="1:19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</row>
    <row r="199" spans="1:19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</row>
    <row r="200" spans="1:19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</row>
    <row r="201" spans="1:19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</row>
    <row r="202" spans="1:19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</row>
    <row r="203" spans="1:19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</row>
    <row r="204" spans="1:19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</row>
    <row r="205" spans="1:19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</row>
    <row r="206" spans="1:19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</row>
    <row r="207" spans="1:19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</row>
    <row r="208" spans="1:19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</row>
    <row r="209" spans="1:19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</row>
    <row r="210" spans="1:19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</row>
    <row r="211" spans="1:19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</row>
    <row r="212" spans="1:19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</row>
    <row r="213" spans="1:19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</row>
    <row r="214" spans="1:19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</row>
    <row r="215" spans="1:19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</row>
    <row r="216" spans="1:19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</row>
    <row r="217" spans="1:19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</row>
    <row r="218" spans="1:19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</row>
    <row r="219" spans="1:19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</row>
    <row r="220" spans="1:19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</row>
    <row r="221" spans="1:19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</row>
    <row r="222" spans="1:19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</row>
    <row r="223" spans="1:19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</row>
    <row r="224" spans="1:19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</row>
    <row r="225" spans="1:19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</row>
    <row r="226" spans="1:19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</row>
    <row r="227" spans="1:19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</row>
    <row r="228" spans="1:19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</row>
    <row r="229" spans="1:19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</row>
    <row r="230" spans="1:19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</row>
    <row r="231" spans="1:19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</row>
    <row r="232" spans="1:19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</row>
    <row r="233" spans="1:19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</row>
    <row r="234" spans="1:19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</row>
    <row r="235" spans="1:19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</row>
    <row r="236" spans="1:19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</row>
    <row r="237" spans="1:19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</row>
    <row r="238" spans="1:19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</row>
    <row r="239" spans="1:19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</row>
    <row r="240" spans="1:19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</row>
    <row r="241" spans="1:19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</row>
    <row r="242" spans="1:19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</row>
    <row r="243" spans="1:19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</row>
    <row r="244" spans="1:19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</row>
    <row r="245" spans="1:19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</row>
    <row r="246" spans="1:19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</row>
    <row r="247" spans="1:19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</row>
    <row r="248" spans="1:19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</row>
    <row r="249" spans="1:19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</row>
    <row r="250" spans="1:19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</row>
    <row r="251" spans="1:19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</row>
    <row r="252" spans="1:19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</row>
    <row r="253" spans="1:19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</row>
    <row r="254" spans="1:19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</row>
    <row r="255" spans="1:19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</row>
    <row r="256" spans="1:19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</row>
    <row r="257" spans="1:19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</row>
    <row r="258" spans="1:19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</row>
    <row r="259" spans="1:19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</row>
    <row r="260" spans="1:19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</row>
    <row r="261" spans="1:19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</row>
    <row r="262" spans="1:19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</row>
    <row r="263" spans="1:19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</row>
    <row r="264" spans="1:19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</row>
    <row r="265" spans="1:19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</row>
    <row r="266" spans="1:19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</row>
    <row r="267" spans="1:19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</row>
    <row r="268" spans="1:19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</row>
    <row r="269" spans="1:19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</row>
    <row r="270" spans="1:19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</row>
    <row r="271" spans="1:19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</row>
    <row r="272" spans="1:19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</row>
    <row r="273" spans="1:19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</row>
    <row r="274" spans="1:19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</row>
    <row r="275" spans="1:19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</row>
    <row r="276" spans="1:19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</row>
    <row r="277" spans="1:19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</row>
    <row r="278" spans="1:19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</row>
    <row r="279" spans="1:19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</row>
    <row r="280" spans="1:19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</row>
    <row r="281" spans="1:19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</row>
    <row r="282" spans="1:19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</row>
    <row r="283" spans="1:19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</row>
    <row r="284" spans="1:19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</row>
    <row r="285" spans="1:19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</row>
    <row r="286" spans="1:19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</row>
    <row r="287" spans="1:19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</row>
    <row r="288" spans="1:19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</row>
    <row r="289" spans="1:19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</row>
    <row r="290" spans="1:19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</row>
    <row r="291" spans="1:19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</row>
    <row r="292" spans="1:19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</row>
    <row r="293" spans="1:19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</row>
    <row r="294" spans="1:19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</row>
    <row r="295" spans="1:19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</row>
    <row r="296" spans="1:19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</row>
    <row r="297" spans="1:19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</row>
    <row r="298" spans="1:19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</row>
    <row r="299" spans="1:19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</row>
    <row r="300" spans="1:19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</row>
    <row r="301" spans="1:19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</row>
    <row r="302" spans="1:19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</row>
    <row r="303" spans="1:19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</row>
    <row r="304" spans="1:19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</row>
    <row r="305" spans="1:19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</row>
    <row r="306" spans="1:19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</row>
    <row r="307" spans="1:19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</row>
    <row r="308" spans="1:19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</row>
    <row r="309" spans="1:19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</row>
    <row r="310" spans="1:19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</row>
    <row r="311" spans="1:19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</row>
    <row r="312" spans="1:19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</row>
    <row r="313" spans="1:19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</row>
    <row r="314" spans="1:19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</row>
    <row r="315" spans="1:19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</row>
    <row r="316" spans="1:19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</row>
    <row r="317" spans="1:19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</row>
    <row r="318" spans="1:19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</row>
    <row r="319" spans="1:19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</row>
    <row r="320" spans="1:19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</row>
    <row r="321" spans="1:19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</row>
    <row r="322" spans="1:19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</row>
    <row r="323" spans="1:19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</row>
    <row r="324" spans="1:19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</row>
    <row r="325" spans="1:19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</row>
    <row r="326" spans="1:19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</row>
    <row r="327" spans="1:19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</row>
    <row r="328" spans="1:19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</row>
    <row r="329" spans="1:19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</row>
    <row r="330" spans="1:19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</row>
    <row r="331" spans="1:19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</row>
    <row r="332" spans="1:19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</row>
    <row r="333" spans="1:19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</row>
    <row r="334" spans="1:19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</row>
    <row r="335" spans="1:19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</row>
    <row r="336" spans="1:19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</row>
    <row r="337" spans="1:19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</row>
    <row r="338" spans="1:19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</row>
    <row r="339" spans="1:19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</row>
    <row r="340" spans="1:19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</row>
    <row r="341" spans="1:19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</row>
    <row r="342" spans="1:19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</row>
    <row r="343" spans="1:19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</row>
    <row r="344" spans="1:19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</row>
    <row r="345" spans="1:19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</row>
    <row r="346" spans="1:19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</row>
    <row r="347" spans="1:19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</row>
    <row r="348" spans="1:19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</row>
    <row r="349" spans="1:19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</row>
    <row r="350" spans="1:19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</row>
    <row r="351" spans="1:19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</row>
    <row r="352" spans="1:19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</row>
    <row r="353" spans="1:19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</row>
    <row r="354" spans="1:19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</row>
    <row r="355" spans="1:19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</row>
    <row r="356" spans="1:19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</row>
    <row r="357" spans="1:19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</row>
    <row r="358" spans="1:19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</row>
    <row r="359" spans="1:19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</row>
    <row r="360" spans="1:19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</row>
    <row r="361" spans="1:19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</row>
    <row r="362" spans="1:19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</row>
    <row r="363" spans="1:19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</row>
    <row r="364" spans="1:19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</row>
    <row r="365" spans="1:19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</row>
    <row r="366" spans="1:19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</row>
    <row r="367" spans="1:19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</row>
    <row r="368" spans="1:19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</row>
    <row r="369" spans="1:19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</row>
    <row r="370" spans="1:19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</row>
    <row r="371" spans="1:19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</row>
    <row r="372" spans="1:19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</row>
    <row r="373" spans="1:19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</row>
    <row r="374" spans="1:19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</row>
    <row r="375" spans="1:19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</row>
    <row r="376" spans="1:19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</row>
    <row r="377" spans="1:19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</row>
    <row r="378" spans="1:19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</row>
    <row r="379" spans="1:19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</row>
    <row r="380" spans="1:19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</row>
    <row r="381" spans="1:19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</row>
    <row r="382" spans="1:19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</row>
    <row r="383" spans="1:19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</row>
    <row r="384" spans="1:19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</row>
    <row r="385" spans="1:19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</row>
    <row r="386" spans="1:19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</row>
    <row r="387" spans="1:19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</row>
    <row r="388" spans="1:19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</row>
    <row r="389" spans="1:19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</row>
    <row r="390" spans="1:19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</row>
    <row r="391" spans="1:19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</row>
    <row r="392" spans="1:19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</row>
    <row r="393" spans="1:19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</row>
    <row r="394" spans="1:19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</row>
    <row r="395" spans="1:19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</row>
    <row r="396" spans="1:19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</row>
    <row r="397" spans="1:19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</row>
    <row r="398" spans="1:19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</row>
    <row r="399" spans="1:19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</row>
    <row r="400" spans="1:19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</row>
    <row r="401" spans="1:19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</row>
    <row r="402" spans="1:19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</row>
    <row r="403" spans="1:19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</row>
    <row r="404" spans="1:19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</row>
    <row r="405" spans="1:19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</row>
    <row r="406" spans="1:19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</row>
    <row r="407" spans="1:19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</row>
    <row r="408" spans="1:19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</row>
    <row r="409" spans="1:19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</row>
    <row r="410" spans="1:19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</row>
    <row r="411" spans="1:19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</row>
    <row r="412" spans="1:19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</row>
    <row r="413" spans="1:19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</row>
    <row r="414" spans="1:19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</row>
    <row r="415" spans="1:19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</row>
    <row r="416" spans="1:19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</row>
    <row r="417" spans="1:19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</row>
    <row r="418" spans="1:19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</row>
    <row r="419" spans="1:19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</row>
    <row r="420" spans="1:19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</row>
    <row r="421" spans="1:19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</row>
    <row r="422" spans="1:19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</row>
    <row r="423" spans="1:19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</row>
    <row r="424" spans="1:19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</row>
    <row r="425" spans="1:19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</row>
    <row r="426" spans="1:19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</row>
    <row r="427" spans="1:19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</row>
    <row r="428" spans="1:19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</row>
    <row r="429" spans="1:19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</row>
    <row r="430" spans="1:19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</row>
    <row r="431" spans="1:19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</row>
    <row r="432" spans="1:19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</row>
    <row r="433" spans="1:19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</row>
    <row r="434" spans="1:19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</row>
    <row r="435" spans="1:19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</row>
    <row r="436" spans="1:19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</row>
    <row r="437" spans="1:19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</row>
    <row r="438" spans="1:19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</row>
    <row r="439" spans="1:19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</row>
    <row r="440" spans="1:19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</row>
    <row r="441" spans="1:19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</row>
    <row r="442" spans="1:19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</row>
    <row r="443" spans="1:19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</row>
    <row r="444" spans="1:19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</row>
    <row r="445" spans="1:19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</row>
    <row r="446" spans="1:19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</row>
    <row r="447" spans="1:19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</row>
    <row r="448" spans="1:19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</row>
    <row r="449" spans="1:19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</row>
    <row r="450" spans="1:19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</row>
    <row r="451" spans="1:19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</row>
    <row r="452" spans="1:19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</row>
    <row r="453" spans="1:19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</row>
    <row r="454" spans="1:19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</row>
    <row r="455" spans="1:19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</row>
    <row r="456" spans="1:19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</row>
    <row r="457" spans="1:19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</row>
    <row r="458" spans="1:19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</row>
    <row r="459" spans="1:19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</row>
    <row r="460" spans="1:19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</row>
    <row r="461" spans="1:19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</row>
    <row r="462" spans="1:19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</row>
    <row r="463" spans="1:19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</row>
    <row r="464" spans="1:19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</row>
    <row r="465" spans="1:19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</row>
    <row r="466" spans="1:19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</row>
    <row r="467" spans="1:19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</row>
    <row r="468" spans="1:19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</row>
    <row r="469" spans="1:19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</row>
    <row r="470" spans="1:19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</row>
    <row r="471" spans="1:19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</row>
    <row r="472" spans="1:19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</row>
    <row r="473" spans="1:19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</row>
    <row r="474" spans="1:19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</row>
    <row r="475" spans="1:19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</row>
    <row r="476" spans="1:19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</row>
    <row r="477" spans="1:19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</row>
    <row r="478" spans="1:19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</row>
    <row r="479" spans="1:19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</row>
    <row r="480" spans="1:19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</row>
    <row r="481" spans="1:19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</row>
    <row r="482" spans="1:19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</row>
    <row r="483" spans="1:19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</row>
    <row r="484" spans="1:19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</row>
    <row r="485" spans="1:19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</row>
    <row r="486" spans="1:19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</row>
    <row r="487" spans="1:19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</row>
    <row r="488" spans="1:19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</row>
    <row r="489" spans="1:19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</row>
    <row r="490" spans="1:19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</row>
    <row r="491" spans="1:19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</row>
    <row r="492" spans="1:19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</row>
    <row r="493" spans="1:19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</row>
    <row r="494" spans="1:19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</row>
    <row r="495" spans="1:19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</row>
    <row r="496" spans="1:19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</row>
    <row r="497" spans="1:19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</row>
    <row r="498" spans="1:19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</row>
    <row r="499" spans="1:19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</row>
    <row r="500" spans="1:19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</row>
    <row r="501" spans="1:19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</row>
    <row r="502" spans="1:19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</row>
    <row r="503" spans="1:19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</row>
    <row r="504" spans="1:19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</row>
    <row r="505" spans="1:19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</row>
    <row r="506" spans="1:19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</row>
    <row r="507" spans="1:19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</row>
    <row r="508" spans="1:19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</row>
    <row r="509" spans="1:19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</row>
    <row r="510" spans="1:19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</row>
    <row r="511" spans="1:19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</row>
    <row r="512" spans="1:19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</row>
    <row r="513" spans="1:19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</row>
    <row r="514" spans="1:19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</row>
    <row r="515" spans="1:19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</row>
    <row r="516" spans="1:19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</row>
    <row r="517" spans="1:19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</row>
    <row r="518" spans="1:19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</row>
    <row r="519" spans="1:19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</row>
    <row r="520" spans="1:19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</row>
    <row r="521" spans="1:19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</row>
    <row r="522" spans="1:19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</row>
    <row r="523" spans="1:19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</row>
    <row r="524" spans="1:19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</row>
    <row r="525" spans="1:19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</row>
    <row r="526" spans="1:19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</row>
    <row r="527" spans="1:19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</row>
    <row r="528" spans="1:19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</row>
    <row r="529" spans="1:19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</row>
    <row r="530" spans="1:19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</row>
    <row r="531" spans="1:19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</row>
    <row r="532" spans="1:19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</row>
    <row r="533" spans="1:19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</row>
    <row r="534" spans="1:19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</row>
    <row r="535" spans="1:19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</row>
    <row r="536" spans="1:19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</row>
    <row r="537" spans="1:19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</row>
    <row r="538" spans="1:19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</row>
    <row r="539" spans="1:19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</row>
    <row r="540" spans="1:19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</row>
    <row r="541" spans="1:19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</row>
    <row r="542" spans="1:19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</row>
    <row r="543" spans="1:19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</row>
    <row r="544" spans="1:19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</row>
    <row r="545" spans="1:19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</row>
    <row r="546" spans="1:19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</row>
    <row r="547" spans="1:19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</row>
    <row r="548" spans="1:19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</row>
    <row r="549" spans="1:19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</row>
    <row r="550" spans="1:19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</row>
    <row r="551" spans="1:19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</row>
    <row r="552" spans="1:19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</row>
    <row r="553" spans="1:19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</row>
    <row r="554" spans="1:19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</row>
    <row r="555" spans="1:19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</row>
    <row r="556" spans="1:19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</row>
    <row r="557" spans="1:19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</row>
    <row r="558" spans="1:19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</row>
    <row r="559" spans="1:19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</row>
    <row r="560" spans="1:19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</row>
    <row r="561" spans="1:19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</row>
    <row r="562" spans="1:19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</row>
    <row r="563" spans="1:19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</row>
    <row r="564" spans="1:19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</row>
    <row r="565" spans="1:19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</row>
    <row r="566" spans="1:19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</row>
    <row r="567" spans="1:19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</row>
    <row r="568" spans="1:19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</row>
    <row r="569" spans="1:19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</row>
    <row r="570" spans="1:19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</row>
    <row r="571" spans="1:19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</row>
    <row r="572" spans="1:19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</row>
    <row r="573" spans="1:19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</row>
    <row r="574" spans="1:19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</row>
    <row r="575" spans="1:19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</row>
    <row r="576" spans="1:19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</row>
    <row r="577" spans="1:19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</row>
    <row r="578" spans="1:19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</row>
    <row r="579" spans="1:19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</row>
    <row r="580" spans="1:19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</row>
    <row r="581" spans="1:19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</row>
    <row r="582" spans="1:19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</row>
    <row r="583" spans="1:19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</row>
    <row r="584" spans="1:19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</row>
    <row r="585" spans="1:19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</row>
    <row r="586" spans="1:19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</row>
    <row r="587" spans="1:19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</row>
    <row r="588" spans="1:19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</row>
    <row r="589" spans="1:19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</row>
    <row r="590" spans="1:19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</row>
    <row r="591" spans="1:19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</row>
    <row r="592" spans="1:19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</row>
    <row r="593" spans="1:19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</row>
    <row r="594" spans="1:19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</row>
    <row r="595" spans="1:19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</row>
    <row r="596" spans="1:19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</row>
    <row r="597" spans="1:19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</row>
    <row r="598" spans="1:19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</row>
    <row r="599" spans="1:19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</row>
    <row r="600" spans="1:19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</row>
    <row r="601" spans="1:19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</row>
    <row r="602" spans="1:19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</row>
    <row r="603" spans="1:19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</row>
    <row r="604" spans="1:19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</row>
    <row r="605" spans="1:19">
      <c r="A605" s="23"/>
      <c r="B605" s="23"/>
      <c r="C605" s="23"/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</row>
    <row r="606" spans="1:19">
      <c r="A606" s="23"/>
      <c r="B606" s="23"/>
      <c r="C606" s="23"/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</row>
    <row r="607" spans="1:19">
      <c r="A607" s="23"/>
      <c r="B607" s="23"/>
      <c r="C607" s="23"/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</row>
    <row r="608" spans="1:19">
      <c r="A608" s="23"/>
      <c r="B608" s="23"/>
      <c r="C608" s="23"/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</row>
    <row r="609" spans="1:19">
      <c r="A609" s="23"/>
      <c r="B609" s="23"/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</row>
    <row r="610" spans="1:19">
      <c r="A610" s="23"/>
      <c r="B610" s="23"/>
      <c r="C610" s="23"/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</row>
    <row r="611" spans="1:19">
      <c r="A611" s="23"/>
      <c r="B611" s="23"/>
      <c r="C611" s="23"/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</row>
    <row r="612" spans="1:19">
      <c r="A612" s="23"/>
      <c r="B612" s="23"/>
      <c r="C612" s="23"/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</row>
    <row r="613" spans="1:19">
      <c r="A613" s="23"/>
      <c r="B613" s="23"/>
      <c r="C613" s="23"/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</row>
    <row r="614" spans="1:19">
      <c r="A614" s="23"/>
      <c r="B614" s="23"/>
      <c r="C614" s="23"/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</row>
    <row r="615" spans="1:19">
      <c r="A615" s="23"/>
      <c r="B615" s="23"/>
      <c r="C615" s="23"/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</row>
    <row r="616" spans="1:19">
      <c r="A616" s="23"/>
      <c r="B616" s="23"/>
      <c r="C616" s="23"/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</row>
    <row r="617" spans="1:19">
      <c r="A617" s="23"/>
      <c r="B617" s="23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</row>
    <row r="618" spans="1:19">
      <c r="A618" s="23"/>
      <c r="B618" s="23"/>
      <c r="C618" s="23"/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</row>
    <row r="619" spans="1:19">
      <c r="A619" s="23"/>
      <c r="B619" s="23"/>
      <c r="C619" s="23"/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</row>
    <row r="620" spans="1:19">
      <c r="A620" s="23"/>
      <c r="B620" s="23"/>
      <c r="C620" s="23"/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</row>
    <row r="621" spans="1:19">
      <c r="A621" s="23"/>
      <c r="B621" s="23"/>
      <c r="C621" s="23"/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</row>
    <row r="622" spans="1:19">
      <c r="A622" s="23"/>
      <c r="B622" s="23"/>
      <c r="C622" s="23"/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</row>
    <row r="623" spans="1:19">
      <c r="A623" s="23"/>
      <c r="B623" s="23"/>
      <c r="C623" s="23"/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</row>
    <row r="624" spans="1:19">
      <c r="A624" s="23"/>
      <c r="B624" s="23"/>
      <c r="C624" s="23"/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</row>
    <row r="625" spans="1:19">
      <c r="A625" s="23"/>
      <c r="B625" s="23"/>
      <c r="C625" s="23"/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</row>
    <row r="626" spans="1:19">
      <c r="A626" s="23"/>
      <c r="B626" s="23"/>
      <c r="C626" s="23"/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</row>
    <row r="627" spans="1:19">
      <c r="A627" s="23"/>
      <c r="B627" s="23"/>
      <c r="C627" s="23"/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</row>
    <row r="628" spans="1:19">
      <c r="A628" s="23"/>
      <c r="B628" s="23"/>
      <c r="C628" s="23"/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</row>
    <row r="629" spans="1:19">
      <c r="A629" s="23"/>
      <c r="B629" s="23"/>
      <c r="C629" s="23"/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</row>
    <row r="630" spans="1:19">
      <c r="A630" s="23"/>
      <c r="B630" s="23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</row>
    <row r="631" spans="1:19">
      <c r="A631" s="23"/>
      <c r="B631" s="23"/>
      <c r="C631" s="23"/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</row>
    <row r="632" spans="1:19">
      <c r="A632" s="23"/>
      <c r="B632" s="23"/>
      <c r="C632" s="23"/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</row>
    <row r="633" spans="1:19">
      <c r="A633" s="23"/>
      <c r="B633" s="23"/>
      <c r="C633" s="23"/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</row>
    <row r="634" spans="1:19">
      <c r="A634" s="23"/>
      <c r="B634" s="23"/>
      <c r="C634" s="23"/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</row>
    <row r="635" spans="1:19">
      <c r="A635" s="23"/>
      <c r="B635" s="23"/>
      <c r="C635" s="23"/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</row>
    <row r="636" spans="1:19">
      <c r="A636" s="23"/>
      <c r="B636" s="23"/>
      <c r="C636" s="23"/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</row>
    <row r="637" spans="1:19">
      <c r="A637" s="23"/>
      <c r="B637" s="23"/>
      <c r="C637" s="23"/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</row>
    <row r="638" spans="1:19">
      <c r="A638" s="23"/>
      <c r="B638" s="23"/>
      <c r="C638" s="23"/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</row>
    <row r="639" spans="1:19">
      <c r="A639" s="23"/>
      <c r="B639" s="23"/>
      <c r="C639" s="23"/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</row>
    <row r="640" spans="1:19">
      <c r="A640" s="23"/>
      <c r="B640" s="23"/>
      <c r="C640" s="23"/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</row>
    <row r="641" spans="1:19">
      <c r="A641" s="23"/>
      <c r="B641" s="23"/>
      <c r="C641" s="23"/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</row>
    <row r="642" spans="1:19">
      <c r="A642" s="23"/>
      <c r="B642" s="23"/>
      <c r="C642" s="23"/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</row>
    <row r="643" spans="1:19">
      <c r="A643" s="23"/>
      <c r="B643" s="23"/>
      <c r="C643" s="23"/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</row>
    <row r="644" spans="1:19">
      <c r="A644" s="23"/>
      <c r="B644" s="23"/>
      <c r="C644" s="23"/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</row>
    <row r="645" spans="1:19">
      <c r="A645" s="23"/>
      <c r="B645" s="23"/>
      <c r="C645" s="23"/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</row>
    <row r="646" spans="1:19">
      <c r="A646" s="23"/>
      <c r="B646" s="23"/>
      <c r="C646" s="23"/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</row>
    <row r="647" spans="1:19">
      <c r="A647" s="23"/>
      <c r="B647" s="23"/>
      <c r="C647" s="23"/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</row>
    <row r="648" spans="1:19">
      <c r="A648" s="23"/>
      <c r="B648" s="23"/>
      <c r="C648" s="23"/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</row>
    <row r="649" spans="1:19">
      <c r="A649" s="23"/>
      <c r="B649" s="23"/>
      <c r="C649" s="23"/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</row>
    <row r="650" spans="1:19">
      <c r="A650" s="23"/>
      <c r="B650" s="23"/>
      <c r="C650" s="23"/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</row>
    <row r="651" spans="1:19">
      <c r="A651" s="23"/>
      <c r="B651" s="23"/>
      <c r="C651" s="23"/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</row>
    <row r="652" spans="1:19">
      <c r="A652" s="23"/>
      <c r="B652" s="23"/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</row>
    <row r="653" spans="1:19">
      <c r="A653" s="23"/>
      <c r="B653" s="23"/>
      <c r="C653" s="23"/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</row>
    <row r="654" spans="1:19">
      <c r="A654" s="23"/>
      <c r="B654" s="23"/>
      <c r="C654" s="23"/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</row>
    <row r="655" spans="1:19">
      <c r="A655" s="23"/>
      <c r="B655" s="23"/>
      <c r="C655" s="23"/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</row>
    <row r="656" spans="1:19">
      <c r="A656" s="23"/>
      <c r="B656" s="23"/>
      <c r="C656" s="23"/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</row>
    <row r="657" spans="1:19">
      <c r="A657" s="23"/>
      <c r="B657" s="23"/>
      <c r="C657" s="23"/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</row>
    <row r="658" spans="1:19">
      <c r="A658" s="23"/>
      <c r="B658" s="23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</row>
    <row r="659" spans="1:19">
      <c r="A659" s="23"/>
      <c r="B659" s="23"/>
      <c r="C659" s="23"/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</row>
    <row r="660" spans="1:19">
      <c r="A660" s="23"/>
      <c r="B660" s="23"/>
      <c r="C660" s="23"/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</row>
    <row r="661" spans="1:19">
      <c r="A661" s="23"/>
      <c r="B661" s="23"/>
      <c r="C661" s="23"/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</row>
    <row r="662" spans="1:19">
      <c r="A662" s="23"/>
      <c r="B662" s="23"/>
      <c r="C662" s="23"/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</row>
    <row r="663" spans="1:19">
      <c r="A663" s="23"/>
      <c r="B663" s="23"/>
      <c r="C663" s="23"/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</row>
    <row r="664" spans="1:19">
      <c r="A664" s="23"/>
      <c r="B664" s="23"/>
      <c r="C664" s="23"/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</row>
    <row r="665" spans="1:19">
      <c r="A665" s="23"/>
      <c r="B665" s="23"/>
      <c r="C665" s="23"/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</row>
    <row r="666" spans="1:19">
      <c r="A666" s="23"/>
      <c r="B666" s="23"/>
      <c r="C666" s="23"/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</row>
    <row r="667" spans="1:19">
      <c r="A667" s="23"/>
      <c r="B667" s="23"/>
      <c r="C667" s="23"/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</row>
    <row r="668" spans="1:19">
      <c r="A668" s="23"/>
      <c r="B668" s="23"/>
      <c r="C668" s="23"/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</row>
    <row r="669" spans="1:19">
      <c r="A669" s="23"/>
      <c r="B669" s="23"/>
      <c r="C669" s="23"/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</row>
    <row r="670" spans="1:19">
      <c r="A670" s="23"/>
      <c r="B670" s="23"/>
      <c r="C670" s="23"/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</row>
    <row r="671" spans="1:19">
      <c r="A671" s="23"/>
      <c r="B671" s="23"/>
      <c r="C671" s="23"/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</row>
    <row r="672" spans="1:19">
      <c r="A672" s="23"/>
      <c r="B672" s="23"/>
      <c r="C672" s="23"/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</row>
    <row r="673" spans="1:19">
      <c r="A673" s="23"/>
      <c r="B673" s="23"/>
      <c r="C673" s="23"/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</row>
    <row r="674" spans="1:19">
      <c r="A674" s="23"/>
      <c r="B674" s="23"/>
      <c r="C674" s="23"/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</row>
    <row r="675" spans="1:19">
      <c r="A675" s="23"/>
      <c r="B675" s="23"/>
      <c r="C675" s="23"/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</row>
    <row r="676" spans="1:19">
      <c r="A676" s="23"/>
      <c r="B676" s="23"/>
      <c r="C676" s="23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</row>
    <row r="677" spans="1:19">
      <c r="A677" s="23"/>
      <c r="B677" s="23"/>
      <c r="C677" s="23"/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</row>
    <row r="678" spans="1:19">
      <c r="A678" s="23"/>
      <c r="B678" s="23"/>
      <c r="C678" s="23"/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</row>
    <row r="679" spans="1:19">
      <c r="A679" s="23"/>
      <c r="B679" s="23"/>
      <c r="C679" s="23"/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</row>
    <row r="680" spans="1:19">
      <c r="A680" s="23"/>
      <c r="B680" s="23"/>
      <c r="C680" s="23"/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</row>
    <row r="681" spans="1:19">
      <c r="A681" s="23"/>
      <c r="B681" s="23"/>
      <c r="C681" s="23"/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</row>
    <row r="682" spans="1:19">
      <c r="A682" s="23"/>
      <c r="B682" s="23"/>
      <c r="C682" s="23"/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</row>
    <row r="683" spans="1:19">
      <c r="A683" s="23"/>
      <c r="B683" s="23"/>
      <c r="C683" s="23"/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</row>
    <row r="684" spans="1:19">
      <c r="A684" s="23"/>
      <c r="B684" s="23"/>
      <c r="C684" s="23"/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</row>
    <row r="685" spans="1:19">
      <c r="A685" s="23"/>
      <c r="B685" s="23"/>
      <c r="C685" s="23"/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</row>
    <row r="686" spans="1:19">
      <c r="A686" s="23"/>
      <c r="B686" s="23"/>
      <c r="C686" s="23"/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</row>
    <row r="687" spans="1:19">
      <c r="A687" s="23"/>
      <c r="B687" s="23"/>
      <c r="C687" s="23"/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</row>
    <row r="688" spans="1:19">
      <c r="A688" s="23"/>
      <c r="B688" s="23"/>
      <c r="C688" s="23"/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</row>
    <row r="689" spans="1:19">
      <c r="A689" s="23"/>
      <c r="B689" s="23"/>
      <c r="C689" s="23"/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</row>
    <row r="690" spans="1:19">
      <c r="A690" s="23"/>
      <c r="B690" s="23"/>
      <c r="C690" s="23"/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</row>
    <row r="691" spans="1:19">
      <c r="A691" s="23"/>
      <c r="B691" s="23"/>
      <c r="C691" s="23"/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</row>
    <row r="692" spans="1:19">
      <c r="A692" s="23"/>
      <c r="B692" s="23"/>
      <c r="C692" s="23"/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</row>
    <row r="693" spans="1:19">
      <c r="A693" s="23"/>
      <c r="B693" s="23"/>
      <c r="C693" s="23"/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</row>
    <row r="694" spans="1:19">
      <c r="A694" s="23"/>
      <c r="B694" s="23"/>
      <c r="C694" s="23"/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</row>
    <row r="695" spans="1:19">
      <c r="A695" s="23"/>
      <c r="B695" s="23"/>
      <c r="C695" s="23"/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</row>
    <row r="696" spans="1:19">
      <c r="A696" s="23"/>
      <c r="B696" s="23"/>
      <c r="C696" s="23"/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</row>
    <row r="697" spans="1:19">
      <c r="A697" s="23"/>
      <c r="B697" s="23"/>
      <c r="C697" s="23"/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</row>
    <row r="698" spans="1:19">
      <c r="A698" s="23"/>
      <c r="B698" s="23"/>
      <c r="C698" s="23"/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</row>
    <row r="699" spans="1:19">
      <c r="A699" s="23"/>
      <c r="B699" s="23"/>
      <c r="C699" s="23"/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</row>
    <row r="700" spans="1:19">
      <c r="A700" s="23"/>
      <c r="B700" s="23"/>
      <c r="C700" s="23"/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</row>
    <row r="701" spans="1:19">
      <c r="A701" s="23"/>
      <c r="B701" s="23"/>
      <c r="C701" s="23"/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</row>
    <row r="702" spans="1:19">
      <c r="A702" s="23"/>
      <c r="B702" s="23"/>
      <c r="C702" s="23"/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</row>
    <row r="703" spans="1:19">
      <c r="A703" s="23"/>
      <c r="B703" s="23"/>
      <c r="C703" s="23"/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</row>
    <row r="704" spans="1:19">
      <c r="A704" s="23"/>
      <c r="B704" s="23"/>
      <c r="C704" s="23"/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</row>
    <row r="705" spans="1:19">
      <c r="A705" s="23"/>
      <c r="B705" s="23"/>
      <c r="C705" s="23"/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</row>
    <row r="706" spans="1:19">
      <c r="A706" s="23"/>
      <c r="B706" s="23"/>
      <c r="C706" s="23"/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</row>
    <row r="707" spans="1:19">
      <c r="A707" s="23"/>
      <c r="B707" s="23"/>
      <c r="C707" s="23"/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</row>
    <row r="708" spans="1:19">
      <c r="A708" s="23"/>
      <c r="B708" s="23"/>
      <c r="C708" s="23"/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</row>
    <row r="709" spans="1:19">
      <c r="A709" s="23"/>
      <c r="B709" s="23"/>
      <c r="C709" s="23"/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</row>
    <row r="710" spans="1:19">
      <c r="A710" s="23"/>
      <c r="B710" s="23"/>
      <c r="C710" s="23"/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</row>
    <row r="711" spans="1:19">
      <c r="A711" s="23"/>
      <c r="B711" s="23"/>
      <c r="C711" s="23"/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</row>
    <row r="712" spans="1:19">
      <c r="A712" s="23"/>
      <c r="B712" s="23"/>
      <c r="C712" s="23"/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</row>
    <row r="713" spans="1:19">
      <c r="A713" s="23"/>
      <c r="B713" s="23"/>
      <c r="C713" s="23"/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</row>
    <row r="714" spans="1:19">
      <c r="A714" s="23"/>
      <c r="B714" s="23"/>
      <c r="C714" s="23"/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</row>
    <row r="715" spans="1:19">
      <c r="A715" s="23"/>
      <c r="B715" s="23"/>
      <c r="C715" s="23"/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</row>
    <row r="716" spans="1:19">
      <c r="A716" s="23"/>
      <c r="B716" s="23"/>
      <c r="C716" s="23"/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</row>
    <row r="717" spans="1:19">
      <c r="A717" s="23"/>
      <c r="B717" s="23"/>
      <c r="C717" s="23"/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</row>
    <row r="718" spans="1:19">
      <c r="A718" s="23"/>
      <c r="B718" s="23"/>
      <c r="C718" s="23"/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</row>
    <row r="719" spans="1:19">
      <c r="A719" s="23"/>
      <c r="B719" s="23"/>
      <c r="C719" s="23"/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</row>
    <row r="720" spans="1:19">
      <c r="A720" s="23"/>
      <c r="B720" s="23"/>
      <c r="C720" s="23"/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</row>
    <row r="721" spans="1:19">
      <c r="A721" s="23"/>
      <c r="B721" s="23"/>
      <c r="C721" s="23"/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</row>
    <row r="722" spans="1:19">
      <c r="A722" s="23"/>
      <c r="B722" s="23"/>
      <c r="C722" s="23"/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</row>
    <row r="723" spans="1:19">
      <c r="A723" s="23"/>
      <c r="B723" s="23"/>
      <c r="C723" s="23"/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</row>
    <row r="724" spans="1:19">
      <c r="A724" s="23"/>
      <c r="B724" s="23"/>
      <c r="C724" s="23"/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</row>
    <row r="725" spans="1:19">
      <c r="A725" s="23"/>
      <c r="B725" s="23"/>
      <c r="C725" s="23"/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</row>
    <row r="726" spans="1:19">
      <c r="A726" s="23"/>
      <c r="B726" s="23"/>
      <c r="C726" s="23"/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</row>
    <row r="727" spans="1:19">
      <c r="A727" s="23"/>
      <c r="B727" s="23"/>
      <c r="C727" s="23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</row>
    <row r="728" spans="1:19">
      <c r="A728" s="23"/>
      <c r="B728" s="23"/>
      <c r="C728" s="23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</row>
    <row r="729" spans="1:19">
      <c r="A729" s="23"/>
      <c r="B729" s="23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</row>
    <row r="730" spans="1:19">
      <c r="A730" s="23"/>
      <c r="B730" s="23"/>
      <c r="C730" s="23"/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</row>
    <row r="731" spans="1:19">
      <c r="A731" s="23"/>
      <c r="B731" s="23"/>
      <c r="C731" s="23"/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</row>
    <row r="732" spans="1:19">
      <c r="A732" s="23"/>
      <c r="B732" s="23"/>
      <c r="C732" s="23"/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</row>
    <row r="733" spans="1:19">
      <c r="A733" s="23"/>
      <c r="B733" s="23"/>
      <c r="C733" s="23"/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</row>
    <row r="734" spans="1:19">
      <c r="A734" s="23"/>
      <c r="B734" s="23"/>
      <c r="C734" s="23"/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</row>
    <row r="735" spans="1:19">
      <c r="A735" s="23"/>
      <c r="B735" s="23"/>
      <c r="C735" s="23"/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</row>
    <row r="736" spans="1:19">
      <c r="A736" s="23"/>
      <c r="B736" s="23"/>
      <c r="C736" s="23"/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</row>
    <row r="737" spans="1:19">
      <c r="A737" s="23"/>
      <c r="B737" s="23"/>
      <c r="C737" s="23"/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</row>
    <row r="738" spans="1:19">
      <c r="A738" s="23"/>
      <c r="B738" s="23"/>
      <c r="C738" s="23"/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</row>
    <row r="739" spans="1:19">
      <c r="A739" s="23"/>
      <c r="B739" s="23"/>
      <c r="C739" s="23"/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</row>
    <row r="740" spans="1:19">
      <c r="A740" s="23"/>
      <c r="B740" s="23"/>
      <c r="C740" s="23"/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</row>
    <row r="741" spans="1:19">
      <c r="A741" s="23"/>
      <c r="B741" s="23"/>
      <c r="C741" s="23"/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</row>
    <row r="742" spans="1:19">
      <c r="A742" s="23"/>
      <c r="B742" s="23"/>
      <c r="C742" s="23"/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</row>
    <row r="743" spans="1:19">
      <c r="A743" s="23"/>
      <c r="B743" s="23"/>
      <c r="C743" s="23"/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</row>
    <row r="744" spans="1:19">
      <c r="A744" s="23"/>
      <c r="B744" s="23"/>
      <c r="C744" s="23"/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</row>
    <row r="745" spans="1:19">
      <c r="A745" s="23"/>
      <c r="B745" s="23"/>
      <c r="C745" s="23"/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</row>
    <row r="746" spans="1:19">
      <c r="A746" s="23"/>
      <c r="B746" s="23"/>
      <c r="C746" s="23"/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</row>
    <row r="747" spans="1:19">
      <c r="A747" s="23"/>
      <c r="B747" s="23"/>
      <c r="C747" s="23"/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</row>
    <row r="748" spans="1:19">
      <c r="A748" s="23"/>
      <c r="B748" s="23"/>
      <c r="C748" s="23"/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</row>
    <row r="749" spans="1:19">
      <c r="A749" s="23"/>
      <c r="B749" s="23"/>
      <c r="C749" s="23"/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</row>
    <row r="750" spans="1:19">
      <c r="A750" s="23"/>
      <c r="B750" s="23"/>
      <c r="C750" s="23"/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</row>
    <row r="751" spans="1:19">
      <c r="A751" s="23"/>
      <c r="B751" s="23"/>
      <c r="C751" s="23"/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</row>
    <row r="752" spans="1:19">
      <c r="A752" s="23"/>
      <c r="B752" s="23"/>
      <c r="C752" s="23"/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</row>
    <row r="753" spans="1:19">
      <c r="A753" s="23"/>
      <c r="B753" s="23"/>
      <c r="C753" s="23"/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</row>
    <row r="754" spans="1:19">
      <c r="A754" s="23"/>
      <c r="B754" s="23"/>
      <c r="C754" s="23"/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</row>
    <row r="755" spans="1:19">
      <c r="A755" s="23"/>
      <c r="B755" s="23"/>
      <c r="C755" s="23"/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</row>
    <row r="756" spans="1:19">
      <c r="A756" s="23"/>
      <c r="B756" s="23"/>
      <c r="C756" s="23"/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</row>
    <row r="757" spans="1:19">
      <c r="A757" s="23"/>
      <c r="B757" s="23"/>
      <c r="C757" s="23"/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</row>
    <row r="758" spans="1:19">
      <c r="A758" s="23"/>
      <c r="B758" s="23"/>
      <c r="C758" s="23"/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</row>
    <row r="759" spans="1:19">
      <c r="A759" s="23"/>
      <c r="B759" s="23"/>
      <c r="C759" s="23"/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</row>
    <row r="760" spans="1:19">
      <c r="A760" s="23"/>
      <c r="B760" s="23"/>
      <c r="C760" s="23"/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</row>
    <row r="761" spans="1:19">
      <c r="A761" s="23"/>
      <c r="B761" s="23"/>
      <c r="C761" s="23"/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</row>
    <row r="762" spans="1:19">
      <c r="A762" s="23"/>
      <c r="B762" s="23"/>
      <c r="C762" s="23"/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</row>
    <row r="763" spans="1:19">
      <c r="A763" s="23"/>
      <c r="B763" s="23"/>
      <c r="C763" s="23"/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</row>
    <row r="764" spans="1:19">
      <c r="A764" s="23"/>
      <c r="B764" s="23"/>
      <c r="C764" s="23"/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</row>
    <row r="765" spans="1:19">
      <c r="A765" s="23"/>
      <c r="B765" s="23"/>
      <c r="C765" s="23"/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</row>
    <row r="766" spans="1:19">
      <c r="A766" s="23"/>
      <c r="B766" s="23"/>
      <c r="C766" s="23"/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</row>
    <row r="767" spans="1:19">
      <c r="A767" s="23"/>
      <c r="B767" s="23"/>
      <c r="C767" s="23"/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</row>
    <row r="768" spans="1:19">
      <c r="A768" s="23"/>
      <c r="B768" s="23"/>
      <c r="C768" s="23"/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</row>
    <row r="769" spans="1:19">
      <c r="A769" s="23"/>
      <c r="B769" s="23"/>
      <c r="C769" s="23"/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</row>
    <row r="770" spans="1:19">
      <c r="A770" s="23"/>
      <c r="B770" s="23"/>
      <c r="C770" s="23"/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</row>
    <row r="771" spans="1:19">
      <c r="A771" s="23"/>
      <c r="B771" s="23"/>
      <c r="C771" s="23"/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</row>
    <row r="772" spans="1:19">
      <c r="A772" s="23"/>
      <c r="B772" s="23"/>
      <c r="C772" s="23"/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</row>
    <row r="773" spans="1:19">
      <c r="A773" s="23"/>
      <c r="B773" s="23"/>
      <c r="C773" s="23"/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</row>
    <row r="774" spans="1:19">
      <c r="A774" s="23"/>
      <c r="B774" s="23"/>
      <c r="C774" s="23"/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</row>
    <row r="775" spans="1:19">
      <c r="A775" s="23"/>
      <c r="B775" s="23"/>
      <c r="C775" s="23"/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</row>
    <row r="776" spans="1:19">
      <c r="A776" s="23"/>
      <c r="B776" s="23"/>
      <c r="C776" s="23"/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</row>
    <row r="777" spans="1:19">
      <c r="A777" s="23"/>
      <c r="B777" s="23"/>
      <c r="C777" s="23"/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</row>
    <row r="778" spans="1:19">
      <c r="A778" s="23"/>
      <c r="B778" s="23"/>
      <c r="C778" s="23"/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</row>
    <row r="779" spans="1:19">
      <c r="A779" s="23"/>
      <c r="B779" s="23"/>
      <c r="C779" s="23"/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</row>
    <row r="780" spans="1:19">
      <c r="A780" s="23"/>
      <c r="B780" s="23"/>
      <c r="C780" s="23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</row>
    <row r="781" spans="1:19">
      <c r="A781" s="23"/>
      <c r="B781" s="23"/>
      <c r="C781" s="23"/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</row>
    <row r="782" spans="1:19">
      <c r="A782" s="23"/>
      <c r="B782" s="23"/>
      <c r="C782" s="23"/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</row>
    <row r="783" spans="1:19">
      <c r="A783" s="23"/>
      <c r="B783" s="23"/>
      <c r="C783" s="23"/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</row>
    <row r="784" spans="1:19">
      <c r="A784" s="23"/>
      <c r="B784" s="23"/>
      <c r="C784" s="23"/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</row>
    <row r="785" spans="1:19">
      <c r="A785" s="23"/>
      <c r="B785" s="23"/>
      <c r="C785" s="23"/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</row>
    <row r="786" spans="1:19">
      <c r="A786" s="23"/>
      <c r="B786" s="23"/>
      <c r="C786" s="23"/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</row>
    <row r="787" spans="1:19">
      <c r="A787" s="23"/>
      <c r="B787" s="23"/>
      <c r="C787" s="23"/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</row>
    <row r="788" spans="1:19">
      <c r="A788" s="23"/>
      <c r="B788" s="23"/>
      <c r="C788" s="23"/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</row>
    <row r="789" spans="1:19">
      <c r="A789" s="23"/>
      <c r="B789" s="23"/>
      <c r="C789" s="23"/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</row>
    <row r="790" spans="1:19">
      <c r="A790" s="23"/>
      <c r="B790" s="23"/>
      <c r="C790" s="23"/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</row>
    <row r="791" spans="1:19">
      <c r="A791" s="23"/>
      <c r="B791" s="23"/>
      <c r="C791" s="23"/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</row>
    <row r="792" spans="1:19">
      <c r="A792" s="23"/>
      <c r="B792" s="23"/>
      <c r="C792" s="23"/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</row>
    <row r="793" spans="1:19">
      <c r="A793" s="23"/>
      <c r="B793" s="23"/>
      <c r="C793" s="23"/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</row>
    <row r="794" spans="1:19">
      <c r="A794" s="23"/>
      <c r="B794" s="23"/>
      <c r="C794" s="23"/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</row>
    <row r="795" spans="1:19">
      <c r="A795" s="23"/>
      <c r="B795" s="23"/>
      <c r="C795" s="23"/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</row>
    <row r="796" spans="1:19">
      <c r="A796" s="23"/>
      <c r="B796" s="23"/>
      <c r="C796" s="23"/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</row>
    <row r="797" spans="1:19">
      <c r="A797" s="23"/>
      <c r="B797" s="23"/>
      <c r="C797" s="23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</row>
    <row r="798" spans="1:19">
      <c r="A798" s="23"/>
      <c r="B798" s="23"/>
      <c r="C798" s="23"/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</row>
    <row r="799" spans="1:19">
      <c r="A799" s="23"/>
      <c r="B799" s="23"/>
      <c r="C799" s="23"/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</row>
    <row r="800" spans="1:19">
      <c r="A800" s="23"/>
      <c r="B800" s="23"/>
      <c r="C800" s="23"/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</row>
    <row r="801" spans="1:19">
      <c r="A801" s="23"/>
      <c r="B801" s="23"/>
      <c r="C801" s="23"/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</row>
    <row r="802" spans="1:19">
      <c r="A802" s="23"/>
      <c r="B802" s="23"/>
      <c r="C802" s="23"/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</row>
    <row r="803" spans="1:19">
      <c r="A803" s="23"/>
      <c r="B803" s="23"/>
      <c r="C803" s="23"/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</row>
    <row r="804" spans="1:19">
      <c r="A804" s="23"/>
      <c r="B804" s="23"/>
      <c r="C804" s="23"/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</row>
    <row r="805" spans="1:19">
      <c r="A805" s="23"/>
      <c r="B805" s="23"/>
      <c r="C805" s="23"/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</row>
    <row r="806" spans="1:19">
      <c r="A806" s="23"/>
      <c r="B806" s="23"/>
      <c r="C806" s="23"/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</row>
    <row r="807" spans="1:19">
      <c r="A807" s="23"/>
      <c r="B807" s="23"/>
      <c r="C807" s="23"/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</row>
    <row r="808" spans="1:19">
      <c r="A808" s="23"/>
      <c r="B808" s="23"/>
      <c r="C808" s="23"/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</row>
    <row r="809" spans="1:19">
      <c r="A809" s="23"/>
      <c r="B809" s="23"/>
      <c r="C809" s="23"/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</row>
    <row r="810" spans="1:19">
      <c r="A810" s="23"/>
      <c r="B810" s="23"/>
      <c r="C810" s="23"/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</row>
    <row r="811" spans="1:19">
      <c r="A811" s="23"/>
      <c r="B811" s="23"/>
      <c r="C811" s="23"/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</row>
    <row r="812" spans="1:19">
      <c r="A812" s="23"/>
      <c r="B812" s="23"/>
      <c r="C812" s="23"/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</row>
    <row r="813" spans="1:19">
      <c r="A813" s="23"/>
      <c r="B813" s="23"/>
      <c r="C813" s="23"/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</row>
    <row r="814" spans="1:19">
      <c r="A814" s="23"/>
      <c r="B814" s="23"/>
      <c r="C814" s="23"/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</row>
    <row r="815" spans="1:19">
      <c r="A815" s="23"/>
      <c r="B815" s="23"/>
      <c r="C815" s="23"/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</row>
    <row r="816" spans="1:19">
      <c r="A816" s="23"/>
      <c r="B816" s="23"/>
      <c r="C816" s="23"/>
      <c r="D816" s="23"/>
      <c r="E816" s="23"/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</row>
    <row r="817" spans="1:19">
      <c r="A817" s="23"/>
      <c r="B817" s="23"/>
      <c r="C817" s="23"/>
      <c r="D817" s="23"/>
      <c r="E817" s="23"/>
      <c r="F817" s="23"/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</row>
    <row r="818" spans="1:19">
      <c r="A818" s="23"/>
      <c r="B818" s="23"/>
      <c r="C818" s="23"/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</row>
    <row r="819" spans="1:19">
      <c r="A819" s="23"/>
      <c r="B819" s="23"/>
      <c r="C819" s="23"/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</row>
    <row r="820" spans="1:19">
      <c r="A820" s="23"/>
      <c r="B820" s="23"/>
      <c r="C820" s="23"/>
      <c r="D820" s="23"/>
      <c r="E820" s="23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</row>
    <row r="821" spans="1:19">
      <c r="A821" s="23"/>
      <c r="B821" s="23"/>
      <c r="C821" s="23"/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</row>
    <row r="822" spans="1:19">
      <c r="A822" s="23"/>
      <c r="B822" s="23"/>
      <c r="C822" s="23"/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</row>
    <row r="823" spans="1:19">
      <c r="A823" s="23"/>
      <c r="B823" s="23"/>
      <c r="C823" s="23"/>
      <c r="D823" s="23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</row>
    <row r="824" spans="1:19">
      <c r="A824" s="23"/>
      <c r="B824" s="23"/>
      <c r="C824" s="23"/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</row>
    <row r="825" spans="1:19">
      <c r="A825" s="23"/>
      <c r="B825" s="23"/>
      <c r="C825" s="23"/>
      <c r="D825" s="23"/>
      <c r="E825" s="23"/>
      <c r="F825" s="23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</row>
    <row r="826" spans="1:19">
      <c r="A826" s="23"/>
      <c r="B826" s="23"/>
      <c r="C826" s="23"/>
      <c r="D826" s="23"/>
      <c r="E826" s="23"/>
      <c r="F826" s="23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</row>
    <row r="827" spans="1:19">
      <c r="A827" s="23"/>
      <c r="B827" s="23"/>
      <c r="C827" s="23"/>
      <c r="D827" s="23"/>
      <c r="E827" s="23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</row>
    <row r="828" spans="1:19">
      <c r="A828" s="23"/>
      <c r="B828" s="23"/>
      <c r="C828" s="23"/>
      <c r="D828" s="23"/>
      <c r="E828" s="23"/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</row>
    <row r="829" spans="1:19">
      <c r="A829" s="23"/>
      <c r="B829" s="23"/>
      <c r="C829" s="23"/>
      <c r="D829" s="23"/>
      <c r="E829" s="23"/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</row>
    <row r="830" spans="1:19">
      <c r="A830" s="23"/>
      <c r="B830" s="23"/>
      <c r="C830" s="23"/>
      <c r="D830" s="23"/>
      <c r="E830" s="23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</row>
    <row r="831" spans="1:19">
      <c r="A831" s="23"/>
      <c r="B831" s="23"/>
      <c r="C831" s="23"/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</row>
    <row r="832" spans="1:19">
      <c r="A832" s="23"/>
      <c r="B832" s="23"/>
      <c r="C832" s="23"/>
      <c r="D832" s="23"/>
      <c r="E832" s="23"/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</row>
    <row r="833" spans="1:19">
      <c r="A833" s="23"/>
      <c r="B833" s="23"/>
      <c r="C833" s="23"/>
      <c r="D833" s="23"/>
      <c r="E833" s="23"/>
      <c r="F833" s="23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</row>
    <row r="834" spans="1:19">
      <c r="A834" s="23"/>
      <c r="B834" s="23"/>
      <c r="C834" s="23"/>
      <c r="D834" s="23"/>
      <c r="E834" s="23"/>
      <c r="F834" s="23"/>
      <c r="G834" s="23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</row>
    <row r="835" spans="1:19">
      <c r="A835" s="23"/>
      <c r="B835" s="23"/>
      <c r="C835" s="23"/>
      <c r="D835" s="23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</row>
    <row r="836" spans="1:19">
      <c r="A836" s="23"/>
      <c r="B836" s="23"/>
      <c r="C836" s="23"/>
      <c r="D836" s="23"/>
      <c r="E836" s="23"/>
      <c r="F836" s="23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</row>
    <row r="837" spans="1:19">
      <c r="A837" s="23"/>
      <c r="B837" s="23"/>
      <c r="C837" s="23"/>
      <c r="D837" s="23"/>
      <c r="E837" s="23"/>
      <c r="F837" s="23"/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</row>
    <row r="838" spans="1:19">
      <c r="A838" s="23"/>
      <c r="B838" s="23"/>
      <c r="C838" s="23"/>
      <c r="D838" s="23"/>
      <c r="E838" s="23"/>
      <c r="F838" s="23"/>
      <c r="G838" s="23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</row>
    <row r="839" spans="1:19">
      <c r="A839" s="23"/>
      <c r="B839" s="23"/>
      <c r="C839" s="23"/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</row>
    <row r="840" spans="1:19">
      <c r="A840" s="23"/>
      <c r="B840" s="23"/>
      <c r="C840" s="23"/>
      <c r="D840" s="23"/>
      <c r="E840" s="23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</row>
    <row r="841" spans="1:19">
      <c r="A841" s="23"/>
      <c r="B841" s="23"/>
      <c r="C841" s="23"/>
      <c r="D841" s="23"/>
      <c r="E841" s="23"/>
      <c r="F841" s="23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</row>
    <row r="842" spans="1:19">
      <c r="A842" s="23"/>
      <c r="B842" s="23"/>
      <c r="C842" s="23"/>
      <c r="D842" s="23"/>
      <c r="E842" s="23"/>
      <c r="F842" s="23"/>
      <c r="G842" s="23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</row>
    <row r="843" spans="1:19">
      <c r="A843" s="23"/>
      <c r="B843" s="23"/>
      <c r="C843" s="23"/>
      <c r="D843" s="23"/>
      <c r="E843" s="23"/>
      <c r="F843" s="23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</row>
    <row r="844" spans="1:19">
      <c r="A844" s="23"/>
      <c r="B844" s="23"/>
      <c r="C844" s="23"/>
      <c r="D844" s="23"/>
      <c r="E844" s="23"/>
      <c r="F844" s="23"/>
      <c r="G844" s="23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</row>
    <row r="845" spans="1:19">
      <c r="A845" s="23"/>
      <c r="B845" s="23"/>
      <c r="C845" s="23"/>
      <c r="D845" s="23"/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</row>
    <row r="846" spans="1:19">
      <c r="A846" s="23"/>
      <c r="B846" s="23"/>
      <c r="C846" s="23"/>
      <c r="D846" s="23"/>
      <c r="E846" s="23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</row>
    <row r="847" spans="1:19">
      <c r="A847" s="23"/>
      <c r="B847" s="23"/>
      <c r="C847" s="23"/>
      <c r="D847" s="23"/>
      <c r="E847" s="23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</row>
    <row r="848" spans="1:19">
      <c r="A848" s="23"/>
      <c r="B848" s="23"/>
      <c r="C848" s="23"/>
      <c r="D848" s="23"/>
      <c r="E848" s="23"/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</row>
    <row r="849" spans="1:19">
      <c r="A849" s="23"/>
      <c r="B849" s="23"/>
      <c r="C849" s="23"/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</row>
    <row r="850" spans="1:19">
      <c r="A850" s="23"/>
      <c r="B850" s="23"/>
      <c r="C850" s="23"/>
      <c r="D850" s="23"/>
      <c r="E850" s="23"/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</row>
    <row r="851" spans="1:19">
      <c r="A851" s="23"/>
      <c r="B851" s="23"/>
      <c r="C851" s="23"/>
      <c r="D851" s="23"/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</row>
    <row r="852" spans="1:19">
      <c r="A852" s="23"/>
      <c r="B852" s="23"/>
      <c r="C852" s="23"/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</row>
    <row r="853" spans="1:19">
      <c r="A853" s="23"/>
      <c r="B853" s="23"/>
      <c r="C853" s="23"/>
      <c r="D853" s="23"/>
      <c r="E853" s="23"/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</row>
    <row r="854" spans="1:19">
      <c r="A854" s="23"/>
      <c r="B854" s="23"/>
      <c r="C854" s="23"/>
      <c r="D854" s="23"/>
      <c r="E854" s="23"/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</row>
    <row r="855" spans="1:19">
      <c r="A855" s="23"/>
      <c r="B855" s="23"/>
      <c r="C855" s="23"/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</row>
    <row r="856" spans="1:19">
      <c r="A856" s="23"/>
      <c r="B856" s="23"/>
      <c r="C856" s="23"/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</row>
    <row r="857" spans="1:19">
      <c r="A857" s="23"/>
      <c r="B857" s="23"/>
      <c r="C857" s="23"/>
      <c r="D857" s="23"/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</row>
    <row r="858" spans="1:19">
      <c r="A858" s="23"/>
      <c r="B858" s="23"/>
      <c r="C858" s="23"/>
      <c r="D858" s="23"/>
      <c r="E858" s="23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</row>
    <row r="859" spans="1:19">
      <c r="A859" s="23"/>
      <c r="B859" s="23"/>
      <c r="C859" s="23"/>
      <c r="D859" s="23"/>
      <c r="E859" s="23"/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</row>
    <row r="860" spans="1:19">
      <c r="A860" s="23"/>
      <c r="B860" s="23"/>
      <c r="C860" s="23"/>
      <c r="D860" s="23"/>
      <c r="E860" s="23"/>
      <c r="F860" s="23"/>
      <c r="G860" s="23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</row>
    <row r="861" spans="1:19">
      <c r="A861" s="23"/>
      <c r="B861" s="23"/>
      <c r="C861" s="23"/>
      <c r="D861" s="23"/>
      <c r="E861" s="23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</row>
    <row r="862" spans="1:19">
      <c r="A862" s="23"/>
      <c r="B862" s="23"/>
      <c r="C862" s="23"/>
      <c r="D862" s="23"/>
      <c r="E862" s="23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</row>
    <row r="863" spans="1:19">
      <c r="A863" s="23"/>
      <c r="B863" s="23"/>
      <c r="C863" s="23"/>
      <c r="D863" s="23"/>
      <c r="E863" s="23"/>
      <c r="F863" s="23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</row>
    <row r="864" spans="1:19">
      <c r="A864" s="23"/>
      <c r="B864" s="23"/>
      <c r="C864" s="23"/>
      <c r="D864" s="23"/>
      <c r="E864" s="23"/>
      <c r="F864" s="23"/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</row>
    <row r="865" spans="1:19">
      <c r="A865" s="23"/>
      <c r="B865" s="23"/>
      <c r="C865" s="23"/>
      <c r="D865" s="23"/>
      <c r="E865" s="23"/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</row>
    <row r="866" spans="1:19">
      <c r="A866" s="23"/>
      <c r="B866" s="23"/>
      <c r="C866" s="23"/>
      <c r="D866" s="23"/>
      <c r="E866" s="23"/>
      <c r="F866" s="23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</row>
    <row r="867" spans="1:19">
      <c r="A867" s="23"/>
      <c r="B867" s="23"/>
      <c r="C867" s="23"/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</row>
    <row r="868" spans="1:19">
      <c r="A868" s="23"/>
      <c r="B868" s="23"/>
      <c r="C868" s="23"/>
      <c r="D868" s="23"/>
      <c r="E868" s="23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</row>
    <row r="869" spans="1:19">
      <c r="A869" s="23"/>
      <c r="B869" s="23"/>
      <c r="C869" s="23"/>
      <c r="D869" s="23"/>
      <c r="E869" s="23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</row>
    <row r="870" spans="1:19">
      <c r="A870" s="23"/>
      <c r="B870" s="23"/>
      <c r="C870" s="23"/>
      <c r="D870" s="23"/>
      <c r="E870" s="23"/>
      <c r="F870" s="23"/>
      <c r="G870" s="23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</row>
    <row r="871" spans="1:19">
      <c r="A871" s="23"/>
      <c r="B871" s="23"/>
      <c r="C871" s="23"/>
      <c r="D871" s="23"/>
      <c r="E871" s="23"/>
      <c r="F871" s="23"/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</row>
    <row r="872" spans="1:19">
      <c r="A872" s="23"/>
      <c r="B872" s="23"/>
      <c r="C872" s="23"/>
      <c r="D872" s="23"/>
      <c r="E872" s="23"/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</row>
    <row r="873" spans="1:19">
      <c r="A873" s="23"/>
      <c r="B873" s="23"/>
      <c r="C873" s="23"/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</row>
    <row r="874" spans="1:19">
      <c r="A874" s="23"/>
      <c r="B874" s="23"/>
      <c r="C874" s="23"/>
      <c r="D874" s="23"/>
      <c r="E874" s="23"/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</row>
    <row r="875" spans="1:19">
      <c r="A875" s="23"/>
      <c r="B875" s="23"/>
      <c r="C875" s="23"/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</row>
    <row r="876" spans="1:19">
      <c r="A876" s="23"/>
      <c r="B876" s="23"/>
      <c r="C876" s="23"/>
      <c r="D876" s="23"/>
      <c r="E876" s="23"/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</row>
    <row r="877" spans="1:19">
      <c r="A877" s="23"/>
      <c r="B877" s="23"/>
      <c r="C877" s="23"/>
      <c r="D877" s="23"/>
      <c r="E877" s="23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</row>
    <row r="878" spans="1:19">
      <c r="A878" s="23"/>
      <c r="B878" s="23"/>
      <c r="C878" s="23"/>
      <c r="D878" s="23"/>
      <c r="E878" s="23"/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</row>
    <row r="879" spans="1:19">
      <c r="A879" s="23"/>
      <c r="B879" s="23"/>
      <c r="C879" s="23"/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</row>
    <row r="880" spans="1:19">
      <c r="A880" s="23"/>
      <c r="B880" s="23"/>
      <c r="C880" s="23"/>
      <c r="D880" s="23"/>
      <c r="E880" s="23"/>
      <c r="F880" s="23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</row>
    <row r="881" spans="1:19">
      <c r="A881" s="23"/>
      <c r="B881" s="23"/>
      <c r="C881" s="23"/>
      <c r="D881" s="23"/>
      <c r="E881" s="23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</row>
    <row r="882" spans="1:19">
      <c r="A882" s="23"/>
      <c r="B882" s="23"/>
      <c r="C882" s="23"/>
      <c r="D882" s="23"/>
      <c r="E882" s="23"/>
      <c r="F882" s="23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</row>
    <row r="883" spans="1:19">
      <c r="A883" s="23"/>
      <c r="B883" s="23"/>
      <c r="C883" s="23"/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</row>
    <row r="884" spans="1:19">
      <c r="A884" s="23"/>
      <c r="B884" s="23"/>
      <c r="C884" s="23"/>
      <c r="D884" s="23"/>
      <c r="E884" s="23"/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</row>
    <row r="885" spans="1:19">
      <c r="A885" s="23"/>
      <c r="B885" s="23"/>
      <c r="C885" s="23"/>
      <c r="D885" s="23"/>
      <c r="E885" s="23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</row>
    <row r="886" spans="1:19">
      <c r="A886" s="23"/>
      <c r="B886" s="23"/>
      <c r="C886" s="23"/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</row>
    <row r="887" spans="1:19">
      <c r="A887" s="23"/>
      <c r="B887" s="23"/>
      <c r="C887" s="23"/>
      <c r="D887" s="23"/>
      <c r="E887" s="23"/>
      <c r="F887" s="23"/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</row>
    <row r="888" spans="1:19">
      <c r="A888" s="23"/>
      <c r="B888" s="23"/>
      <c r="C888" s="23"/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</row>
    <row r="889" spans="1:19">
      <c r="A889" s="23"/>
      <c r="B889" s="23"/>
      <c r="C889" s="23"/>
      <c r="D889" s="23"/>
      <c r="E889" s="23"/>
      <c r="F889" s="23"/>
      <c r="G889" s="23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</row>
    <row r="890" spans="1:19">
      <c r="A890" s="23"/>
      <c r="B890" s="23"/>
      <c r="C890" s="23"/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</row>
    <row r="891" spans="1:19">
      <c r="A891" s="23"/>
      <c r="B891" s="23"/>
      <c r="C891" s="23"/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</row>
    <row r="892" spans="1:19">
      <c r="A892" s="23"/>
      <c r="B892" s="23"/>
      <c r="C892" s="23"/>
      <c r="D892" s="23"/>
      <c r="E892" s="23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</row>
    <row r="893" spans="1:19">
      <c r="A893" s="23"/>
      <c r="B893" s="23"/>
      <c r="C893" s="23"/>
      <c r="D893" s="23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</row>
    <row r="894" spans="1:19">
      <c r="A894" s="23"/>
      <c r="B894" s="23"/>
      <c r="C894" s="23"/>
      <c r="D894" s="23"/>
      <c r="E894" s="23"/>
      <c r="F894" s="23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</row>
    <row r="895" spans="1:19">
      <c r="A895" s="23"/>
      <c r="B895" s="23"/>
      <c r="C895" s="23"/>
      <c r="D895" s="23"/>
      <c r="E895" s="23"/>
      <c r="F895" s="23"/>
      <c r="G895" s="23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</row>
    <row r="896" spans="1:19">
      <c r="A896" s="23"/>
      <c r="B896" s="23"/>
      <c r="C896" s="23"/>
      <c r="D896" s="23"/>
      <c r="E896" s="23"/>
      <c r="F896" s="23"/>
      <c r="G896" s="23"/>
      <c r="H896" s="23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</row>
    <row r="897" spans="1:19">
      <c r="A897" s="23"/>
      <c r="B897" s="23"/>
      <c r="C897" s="23"/>
      <c r="D897" s="23"/>
      <c r="E897" s="23"/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</row>
    <row r="898" spans="1:19">
      <c r="A898" s="23"/>
      <c r="B898" s="23"/>
      <c r="C898" s="23"/>
      <c r="D898" s="23"/>
      <c r="E898" s="23"/>
      <c r="F898" s="23"/>
      <c r="G898" s="23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</row>
    <row r="899" spans="1:19">
      <c r="A899" s="23"/>
      <c r="B899" s="23"/>
      <c r="C899" s="23"/>
      <c r="D899" s="23"/>
      <c r="E899" s="23"/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</row>
    <row r="900" spans="1:19">
      <c r="A900" s="23"/>
      <c r="B900" s="23"/>
      <c r="C900" s="23"/>
      <c r="D900" s="23"/>
      <c r="E900" s="23"/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</row>
    <row r="901" spans="1:19">
      <c r="A901" s="23"/>
      <c r="B901" s="23"/>
      <c r="C901" s="23"/>
      <c r="D901" s="23"/>
      <c r="E901" s="23"/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</row>
    <row r="902" spans="1:19">
      <c r="A902" s="23"/>
      <c r="B902" s="23"/>
      <c r="C902" s="23"/>
      <c r="D902" s="23"/>
      <c r="E902" s="23"/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</row>
    <row r="903" spans="1:19">
      <c r="A903" s="23"/>
      <c r="B903" s="23"/>
      <c r="C903" s="23"/>
      <c r="D903" s="23"/>
      <c r="E903" s="23"/>
      <c r="F903" s="23"/>
      <c r="G903" s="23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</row>
    <row r="904" spans="1:19">
      <c r="A904" s="23"/>
      <c r="B904" s="23"/>
      <c r="C904" s="23"/>
      <c r="D904" s="23"/>
      <c r="E904" s="23"/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</row>
    <row r="905" spans="1:19">
      <c r="A905" s="23"/>
      <c r="B905" s="23"/>
      <c r="C905" s="23"/>
      <c r="D905" s="23"/>
      <c r="E905" s="23"/>
      <c r="F905" s="23"/>
      <c r="G905" s="23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</row>
    <row r="906" spans="1:19">
      <c r="A906" s="23"/>
      <c r="B906" s="23"/>
      <c r="C906" s="23"/>
      <c r="D906" s="23"/>
      <c r="E906" s="23"/>
      <c r="F906" s="23"/>
      <c r="G906" s="23"/>
      <c r="H906" s="23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</row>
    <row r="907" spans="1:19">
      <c r="A907" s="23"/>
      <c r="B907" s="23"/>
      <c r="C907" s="23"/>
      <c r="D907" s="23"/>
      <c r="E907" s="23"/>
      <c r="F907" s="23"/>
      <c r="G907" s="23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</row>
    <row r="908" spans="1:19">
      <c r="A908" s="23"/>
      <c r="B908" s="23"/>
      <c r="C908" s="23"/>
      <c r="D908" s="23"/>
      <c r="E908" s="23"/>
      <c r="F908" s="23"/>
      <c r="G908" s="23"/>
      <c r="H908" s="23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</row>
    <row r="909" spans="1:19">
      <c r="A909" s="23"/>
      <c r="B909" s="23"/>
      <c r="C909" s="23"/>
      <c r="D909" s="23"/>
      <c r="E909" s="23"/>
      <c r="F909" s="23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</row>
    <row r="910" spans="1:19">
      <c r="A910" s="23"/>
      <c r="B910" s="23"/>
      <c r="C910" s="23"/>
      <c r="D910" s="23"/>
      <c r="E910" s="23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</row>
    <row r="911" spans="1:19">
      <c r="A911" s="23"/>
      <c r="B911" s="23"/>
      <c r="C911" s="23"/>
      <c r="D911" s="23"/>
      <c r="E911" s="23"/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</row>
    <row r="912" spans="1:19">
      <c r="A912" s="23"/>
      <c r="B912" s="23"/>
      <c r="C912" s="23"/>
      <c r="D912" s="23"/>
      <c r="E912" s="23"/>
      <c r="F912" s="23"/>
      <c r="G912" s="23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</row>
    <row r="913" spans="1:19">
      <c r="A913" s="23"/>
      <c r="B913" s="23"/>
      <c r="C913" s="23"/>
      <c r="D913" s="23"/>
      <c r="E913" s="23"/>
      <c r="F913" s="23"/>
      <c r="G913" s="23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</row>
    <row r="914" spans="1:19">
      <c r="A914" s="23"/>
      <c r="B914" s="23"/>
      <c r="C914" s="23"/>
      <c r="D914" s="23"/>
      <c r="E914" s="23"/>
      <c r="F914" s="23"/>
      <c r="G914" s="23"/>
      <c r="H914" s="23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</row>
    <row r="915" spans="1:19">
      <c r="A915" s="23"/>
      <c r="B915" s="23"/>
      <c r="C915" s="23"/>
      <c r="D915" s="23"/>
      <c r="E915" s="23"/>
      <c r="F915" s="23"/>
      <c r="G915" s="23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</row>
    <row r="916" spans="1:19">
      <c r="A916" s="23"/>
      <c r="B916" s="23"/>
      <c r="C916" s="23"/>
      <c r="D916" s="23"/>
      <c r="E916" s="23"/>
      <c r="F916" s="23"/>
      <c r="G916" s="23"/>
      <c r="H916" s="23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</row>
    <row r="917" spans="1:19">
      <c r="A917" s="23"/>
      <c r="B917" s="23"/>
      <c r="C917" s="23"/>
      <c r="D917" s="23"/>
      <c r="E917" s="23"/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</row>
    <row r="918" spans="1:19">
      <c r="A918" s="23"/>
      <c r="B918" s="23"/>
      <c r="C918" s="23"/>
      <c r="D918" s="23"/>
      <c r="E918" s="23"/>
      <c r="F918" s="23"/>
      <c r="G918" s="23"/>
      <c r="H918" s="23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</row>
    <row r="919" spans="1:19">
      <c r="A919" s="23"/>
      <c r="B919" s="23"/>
      <c r="C919" s="23"/>
      <c r="D919" s="23"/>
      <c r="E919" s="23"/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</row>
    <row r="920" spans="1:19">
      <c r="A920" s="23"/>
      <c r="B920" s="23"/>
      <c r="C920" s="23"/>
      <c r="D920" s="23"/>
      <c r="E920" s="23"/>
      <c r="F920" s="23"/>
      <c r="G920" s="23"/>
      <c r="H920" s="23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</row>
    <row r="921" spans="1:19">
      <c r="A921" s="23"/>
      <c r="B921" s="23"/>
      <c r="C921" s="23"/>
      <c r="D921" s="23"/>
      <c r="E921" s="23"/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</row>
    <row r="922" spans="1:19">
      <c r="A922" s="23"/>
      <c r="B922" s="23"/>
      <c r="C922" s="23"/>
      <c r="D922" s="23"/>
      <c r="E922" s="23"/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</row>
    <row r="923" spans="1:19">
      <c r="A923" s="23"/>
      <c r="B923" s="23"/>
      <c r="C923" s="23"/>
      <c r="D923" s="23"/>
      <c r="E923" s="23"/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</row>
    <row r="924" spans="1:19">
      <c r="A924" s="23"/>
      <c r="B924" s="23"/>
      <c r="C924" s="23"/>
      <c r="D924" s="23"/>
      <c r="E924" s="23"/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</row>
    <row r="925" spans="1:19">
      <c r="A925" s="23"/>
      <c r="B925" s="23"/>
      <c r="C925" s="23"/>
      <c r="D925" s="23"/>
      <c r="E925" s="23"/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</row>
    <row r="926" spans="1:19">
      <c r="A926" s="23"/>
      <c r="B926" s="23"/>
      <c r="C926" s="23"/>
      <c r="D926" s="23"/>
      <c r="E926" s="23"/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</row>
    <row r="927" spans="1:19">
      <c r="A927" s="23"/>
      <c r="B927" s="23"/>
      <c r="C927" s="23"/>
      <c r="D927" s="23"/>
      <c r="E927" s="23"/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</row>
    <row r="928" spans="1:19">
      <c r="A928" s="23"/>
      <c r="B928" s="23"/>
      <c r="C928" s="23"/>
      <c r="D928" s="23"/>
      <c r="E928" s="23"/>
      <c r="F928" s="23"/>
      <c r="G928" s="23"/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</row>
    <row r="929" spans="1:19">
      <c r="A929" s="23"/>
      <c r="B929" s="23"/>
      <c r="C929" s="23"/>
      <c r="D929" s="23"/>
      <c r="E929" s="23"/>
      <c r="F929" s="23"/>
      <c r="G929" s="23"/>
      <c r="H929" s="23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</row>
    <row r="930" spans="1:19">
      <c r="A930" s="23"/>
      <c r="B930" s="23"/>
      <c r="C930" s="23"/>
      <c r="D930" s="23"/>
      <c r="E930" s="23"/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</row>
    <row r="931" spans="1:19">
      <c r="A931" s="23"/>
      <c r="B931" s="23"/>
      <c r="C931" s="23"/>
      <c r="D931" s="23"/>
      <c r="E931" s="23"/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</row>
    <row r="932" spans="1:19">
      <c r="A932" s="23"/>
      <c r="B932" s="23"/>
      <c r="C932" s="23"/>
      <c r="D932" s="23"/>
      <c r="E932" s="23"/>
      <c r="F932" s="23"/>
      <c r="G932" s="23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</row>
    <row r="933" spans="1:19">
      <c r="A933" s="23"/>
      <c r="B933" s="23"/>
      <c r="C933" s="23"/>
      <c r="D933" s="23"/>
      <c r="E933" s="23"/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</row>
    <row r="934" spans="1:19">
      <c r="A934" s="23"/>
      <c r="B934" s="23"/>
      <c r="C934" s="23"/>
      <c r="D934" s="23"/>
      <c r="E934" s="23"/>
      <c r="F934" s="23"/>
      <c r="G934" s="23"/>
      <c r="H934" s="23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</row>
    <row r="935" spans="1:19">
      <c r="A935" s="23"/>
      <c r="B935" s="23"/>
      <c r="C935" s="23"/>
      <c r="D935" s="23"/>
      <c r="E935" s="23"/>
      <c r="F935" s="23"/>
      <c r="G935" s="23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</row>
    <row r="936" spans="1:19">
      <c r="A936" s="23"/>
      <c r="B936" s="23"/>
      <c r="C936" s="23"/>
      <c r="D936" s="23"/>
      <c r="E936" s="23"/>
      <c r="F936" s="23"/>
      <c r="G936" s="23"/>
      <c r="H936" s="23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</row>
    <row r="937" spans="1:19">
      <c r="A937" s="23"/>
      <c r="B937" s="23"/>
      <c r="C937" s="23"/>
      <c r="D937" s="23"/>
      <c r="E937" s="23"/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</row>
    <row r="938" spans="1:19">
      <c r="A938" s="23"/>
      <c r="B938" s="23"/>
      <c r="C938" s="23"/>
      <c r="D938" s="23"/>
      <c r="E938" s="23"/>
      <c r="F938" s="23"/>
      <c r="G938" s="23"/>
      <c r="H938" s="23"/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</row>
    <row r="939" spans="1:19">
      <c r="A939" s="23"/>
      <c r="B939" s="23"/>
      <c r="C939" s="23"/>
      <c r="D939" s="23"/>
      <c r="E939" s="23"/>
      <c r="F939" s="23"/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</row>
    <row r="940" spans="1:19">
      <c r="A940" s="23"/>
      <c r="B940" s="23"/>
      <c r="C940" s="23"/>
      <c r="D940" s="23"/>
      <c r="E940" s="23"/>
      <c r="F940" s="23"/>
      <c r="G940" s="23"/>
      <c r="H940" s="23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</row>
    <row r="941" spans="1:19">
      <c r="A941" s="23"/>
      <c r="B941" s="23"/>
      <c r="C941" s="23"/>
      <c r="D941" s="23"/>
      <c r="E941" s="23"/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</row>
    <row r="942" spans="1:19">
      <c r="A942" s="23"/>
      <c r="B942" s="23"/>
      <c r="C942" s="23"/>
      <c r="D942" s="23"/>
      <c r="E942" s="23"/>
      <c r="F942" s="23"/>
      <c r="G942" s="23"/>
      <c r="H942" s="23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</row>
    <row r="943" spans="1:19">
      <c r="A943" s="23"/>
      <c r="B943" s="23"/>
      <c r="C943" s="23"/>
      <c r="D943" s="23"/>
      <c r="E943" s="23"/>
      <c r="F943" s="23"/>
      <c r="G943" s="23"/>
      <c r="H943" s="23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</row>
    <row r="944" spans="1:19">
      <c r="A944" s="23"/>
      <c r="B944" s="23"/>
      <c r="C944" s="23"/>
      <c r="D944" s="23"/>
      <c r="E944" s="23"/>
      <c r="F944" s="23"/>
      <c r="G944" s="23"/>
      <c r="H944" s="23"/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</row>
    <row r="945" spans="1:19">
      <c r="A945" s="23"/>
      <c r="B945" s="23"/>
      <c r="C945" s="23"/>
      <c r="D945" s="23"/>
      <c r="E945" s="23"/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</row>
    <row r="946" spans="1:19">
      <c r="A946" s="23"/>
      <c r="B946" s="23"/>
      <c r="C946" s="23"/>
      <c r="D946" s="23"/>
      <c r="E946" s="23"/>
      <c r="F946" s="23"/>
      <c r="G946" s="23"/>
      <c r="H946" s="23"/>
      <c r="I946" s="23"/>
      <c r="J946" s="23"/>
      <c r="K946" s="23"/>
      <c r="L946" s="23"/>
      <c r="M946" s="23"/>
      <c r="N946" s="23"/>
      <c r="O946" s="23"/>
      <c r="P946" s="23"/>
      <c r="Q946" s="23"/>
      <c r="R946" s="23"/>
      <c r="S946" s="23"/>
    </row>
    <row r="947" spans="1:19">
      <c r="A947" s="23"/>
      <c r="B947" s="23"/>
      <c r="C947" s="23"/>
      <c r="D947" s="23"/>
      <c r="E947" s="23"/>
      <c r="F947" s="23"/>
      <c r="G947" s="23"/>
      <c r="H947" s="23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</row>
    <row r="948" spans="1:19">
      <c r="A948" s="23"/>
      <c r="B948" s="23"/>
      <c r="C948" s="23"/>
      <c r="D948" s="23"/>
      <c r="E948" s="23"/>
      <c r="F948" s="23"/>
      <c r="G948" s="23"/>
      <c r="H948" s="23"/>
      <c r="I948" s="23"/>
      <c r="J948" s="23"/>
      <c r="K948" s="23"/>
      <c r="L948" s="23"/>
      <c r="M948" s="23"/>
      <c r="N948" s="23"/>
      <c r="O948" s="23"/>
      <c r="P948" s="23"/>
      <c r="Q948" s="23"/>
      <c r="R948" s="23"/>
      <c r="S948" s="23"/>
    </row>
    <row r="949" spans="1:19">
      <c r="A949" s="23"/>
      <c r="B949" s="23"/>
      <c r="C949" s="23"/>
      <c r="D949" s="23"/>
      <c r="E949" s="23"/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</row>
    <row r="950" spans="1:19">
      <c r="A950" s="23"/>
      <c r="B950" s="23"/>
      <c r="C950" s="23"/>
      <c r="D950" s="23"/>
      <c r="E950" s="23"/>
      <c r="F950" s="23"/>
      <c r="G950" s="23"/>
      <c r="H950" s="23"/>
      <c r="I950" s="23"/>
      <c r="J950" s="23"/>
      <c r="K950" s="23"/>
      <c r="L950" s="23"/>
      <c r="M950" s="23"/>
      <c r="N950" s="23"/>
      <c r="O950" s="23"/>
      <c r="P950" s="23"/>
      <c r="Q950" s="23"/>
      <c r="R950" s="23"/>
      <c r="S950" s="23"/>
    </row>
    <row r="951" spans="1:19">
      <c r="A951" s="23"/>
      <c r="B951" s="23"/>
      <c r="C951" s="23"/>
      <c r="D951" s="23"/>
      <c r="E951" s="23"/>
      <c r="F951" s="23"/>
      <c r="G951" s="23"/>
      <c r="H951" s="23"/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</row>
    <row r="952" spans="1:19">
      <c r="A952" s="23"/>
      <c r="B952" s="23"/>
      <c r="C952" s="23"/>
      <c r="D952" s="23"/>
      <c r="E952" s="23"/>
      <c r="F952" s="23"/>
      <c r="G952" s="23"/>
      <c r="H952" s="23"/>
      <c r="I952" s="23"/>
      <c r="J952" s="23"/>
      <c r="K952" s="23"/>
      <c r="L952" s="23"/>
      <c r="M952" s="23"/>
      <c r="N952" s="23"/>
      <c r="O952" s="23"/>
      <c r="P952" s="23"/>
      <c r="Q952" s="23"/>
      <c r="R952" s="23"/>
      <c r="S952" s="23"/>
    </row>
    <row r="953" spans="1:19">
      <c r="A953" s="23"/>
      <c r="B953" s="23"/>
      <c r="C953" s="23"/>
      <c r="D953" s="23"/>
      <c r="E953" s="23"/>
      <c r="F953" s="23"/>
      <c r="G953" s="23"/>
      <c r="H953" s="23"/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</row>
    <row r="954" spans="1:19">
      <c r="A954" s="23"/>
      <c r="B954" s="23"/>
      <c r="C954" s="23"/>
      <c r="D954" s="23"/>
      <c r="E954" s="23"/>
      <c r="F954" s="23"/>
      <c r="G954" s="23"/>
      <c r="H954" s="23"/>
      <c r="I954" s="23"/>
      <c r="J954" s="23"/>
      <c r="K954" s="23"/>
      <c r="L954" s="23"/>
      <c r="M954" s="23"/>
      <c r="N954" s="23"/>
      <c r="O954" s="23"/>
      <c r="P954" s="23"/>
      <c r="Q954" s="23"/>
      <c r="R954" s="23"/>
      <c r="S954" s="23"/>
    </row>
    <row r="955" spans="1:19">
      <c r="A955" s="23"/>
      <c r="B955" s="23"/>
      <c r="C955" s="23"/>
      <c r="D955" s="23"/>
      <c r="E955" s="23"/>
      <c r="F955" s="23"/>
      <c r="G955" s="23"/>
      <c r="H955" s="23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</row>
    <row r="956" spans="1:19">
      <c r="A956" s="23"/>
      <c r="B956" s="23"/>
      <c r="C956" s="23"/>
      <c r="D956" s="23"/>
      <c r="E956" s="23"/>
      <c r="F956" s="23"/>
      <c r="G956" s="23"/>
      <c r="H956" s="23"/>
      <c r="I956" s="23"/>
      <c r="J956" s="23"/>
      <c r="K956" s="23"/>
      <c r="L956" s="23"/>
      <c r="M956" s="23"/>
      <c r="N956" s="23"/>
      <c r="O956" s="23"/>
      <c r="P956" s="23"/>
      <c r="Q956" s="23"/>
      <c r="R956" s="23"/>
      <c r="S956" s="23"/>
    </row>
    <row r="957" spans="1:19">
      <c r="A957" s="23"/>
      <c r="B957" s="23"/>
      <c r="C957" s="23"/>
      <c r="D957" s="23"/>
      <c r="E957" s="23"/>
      <c r="F957" s="23"/>
      <c r="G957" s="23"/>
      <c r="H957" s="23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</row>
    <row r="958" spans="1:19">
      <c r="A958" s="23"/>
      <c r="B958" s="23"/>
      <c r="C958" s="23"/>
      <c r="D958" s="23"/>
      <c r="E958" s="23"/>
      <c r="F958" s="23"/>
      <c r="G958" s="23"/>
      <c r="H958" s="23"/>
      <c r="I958" s="23"/>
      <c r="J958" s="23"/>
      <c r="K958" s="23"/>
      <c r="L958" s="23"/>
      <c r="M958" s="23"/>
      <c r="N958" s="23"/>
      <c r="O958" s="23"/>
      <c r="P958" s="23"/>
      <c r="Q958" s="23"/>
      <c r="R958" s="23"/>
      <c r="S958" s="23"/>
    </row>
    <row r="959" spans="1:19">
      <c r="A959" s="23"/>
      <c r="B959" s="23"/>
      <c r="C959" s="23"/>
      <c r="D959" s="23"/>
      <c r="E959" s="23"/>
      <c r="F959" s="23"/>
      <c r="G959" s="23"/>
      <c r="H959" s="23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</row>
    <row r="960" spans="1:19">
      <c r="A960" s="23"/>
      <c r="B960" s="23"/>
      <c r="C960" s="23"/>
      <c r="D960" s="23"/>
      <c r="E960" s="23"/>
      <c r="F960" s="23"/>
      <c r="G960" s="23"/>
      <c r="H960" s="23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</row>
    <row r="961" spans="1:19">
      <c r="A961" s="23"/>
      <c r="B961" s="23"/>
      <c r="C961" s="23"/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</row>
    <row r="962" spans="1:19">
      <c r="A962" s="23"/>
      <c r="B962" s="23"/>
      <c r="C962" s="23"/>
      <c r="D962" s="23"/>
      <c r="E962" s="23"/>
      <c r="F962" s="23"/>
      <c r="G962" s="23"/>
      <c r="H962" s="23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</row>
    <row r="963" spans="1:19">
      <c r="A963" s="23"/>
      <c r="B963" s="23"/>
      <c r="C963" s="23"/>
      <c r="D963" s="23"/>
      <c r="E963" s="23"/>
      <c r="F963" s="23"/>
      <c r="G963" s="23"/>
      <c r="H963" s="23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</row>
    <row r="964" spans="1:19">
      <c r="A964" s="23"/>
      <c r="B964" s="23"/>
      <c r="C964" s="23"/>
      <c r="D964" s="23"/>
      <c r="E964" s="23"/>
      <c r="F964" s="23"/>
      <c r="G964" s="23"/>
      <c r="H964" s="23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</row>
    <row r="965" spans="1:19">
      <c r="A965" s="23"/>
      <c r="B965" s="23"/>
      <c r="C965" s="23"/>
      <c r="D965" s="23"/>
      <c r="E965" s="23"/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</row>
    <row r="966" spans="1:19">
      <c r="A966" s="23"/>
      <c r="B966" s="23"/>
      <c r="C966" s="23"/>
      <c r="D966" s="23"/>
      <c r="E966" s="23"/>
      <c r="F966" s="23"/>
      <c r="G966" s="23"/>
      <c r="H966" s="23"/>
      <c r="I966" s="23"/>
      <c r="J966" s="23"/>
      <c r="K966" s="23"/>
      <c r="L966" s="23"/>
      <c r="M966" s="23"/>
      <c r="N966" s="23"/>
      <c r="O966" s="23"/>
      <c r="P966" s="23"/>
      <c r="Q966" s="23"/>
      <c r="R966" s="23"/>
      <c r="S966" s="23"/>
    </row>
    <row r="967" spans="1:19">
      <c r="A967" s="23"/>
      <c r="B967" s="23"/>
      <c r="C967" s="23"/>
      <c r="D967" s="23"/>
      <c r="E967" s="23"/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</row>
    <row r="968" spans="1:19">
      <c r="A968" s="23"/>
      <c r="B968" s="23"/>
      <c r="C968" s="23"/>
      <c r="D968" s="23"/>
      <c r="E968" s="23"/>
      <c r="F968" s="23"/>
      <c r="G968" s="23"/>
      <c r="H968" s="23"/>
      <c r="I968" s="23"/>
      <c r="J968" s="23"/>
      <c r="K968" s="23"/>
      <c r="L968" s="23"/>
      <c r="M968" s="23"/>
      <c r="N968" s="23"/>
      <c r="O968" s="23"/>
      <c r="P968" s="23"/>
      <c r="Q968" s="23"/>
      <c r="R968" s="23"/>
      <c r="S968" s="23"/>
    </row>
    <row r="969" spans="1:19">
      <c r="A969" s="23"/>
      <c r="B969" s="23"/>
      <c r="C969" s="23"/>
      <c r="D969" s="23"/>
      <c r="E969" s="23"/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</row>
    <row r="970" spans="1:19">
      <c r="A970" s="23"/>
      <c r="B970" s="23"/>
      <c r="C970" s="23"/>
      <c r="D970" s="23"/>
      <c r="E970" s="23"/>
      <c r="F970" s="23"/>
      <c r="G970" s="23"/>
      <c r="H970" s="23"/>
      <c r="I970" s="23"/>
      <c r="J970" s="23"/>
      <c r="K970" s="23"/>
      <c r="L970" s="23"/>
      <c r="M970" s="23"/>
      <c r="N970" s="23"/>
      <c r="O970" s="23"/>
      <c r="P970" s="23"/>
      <c r="Q970" s="23"/>
      <c r="R970" s="23"/>
      <c r="S970" s="23"/>
    </row>
    <row r="971" spans="1:19">
      <c r="A971" s="23"/>
      <c r="B971" s="23"/>
      <c r="C971" s="23"/>
      <c r="D971" s="23"/>
      <c r="E971" s="23"/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</row>
    <row r="972" spans="1:19">
      <c r="A972" s="23"/>
      <c r="B972" s="23"/>
      <c r="C972" s="23"/>
      <c r="D972" s="23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</row>
    <row r="973" spans="1:19">
      <c r="A973" s="23"/>
      <c r="B973" s="23"/>
      <c r="C973" s="23"/>
      <c r="D973" s="23"/>
      <c r="E973" s="23"/>
      <c r="F973" s="23"/>
      <c r="G973" s="23"/>
      <c r="H973" s="23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</row>
    <row r="974" spans="1:19">
      <c r="A974" s="23"/>
      <c r="B974" s="23"/>
      <c r="C974" s="23"/>
      <c r="D974" s="23"/>
      <c r="E974" s="23"/>
      <c r="F974" s="23"/>
      <c r="G974" s="23"/>
      <c r="H974" s="23"/>
      <c r="I974" s="23"/>
      <c r="J974" s="23"/>
      <c r="K974" s="23"/>
      <c r="L974" s="23"/>
      <c r="M974" s="23"/>
      <c r="N974" s="23"/>
      <c r="O974" s="23"/>
      <c r="P974" s="23"/>
      <c r="Q974" s="23"/>
      <c r="R974" s="23"/>
      <c r="S974" s="23"/>
    </row>
    <row r="975" spans="1:19">
      <c r="A975" s="23"/>
      <c r="B975" s="23"/>
      <c r="C975" s="23"/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</row>
    <row r="976" spans="1:19">
      <c r="A976" s="23"/>
      <c r="B976" s="23"/>
      <c r="C976" s="23"/>
      <c r="D976" s="23"/>
      <c r="E976" s="23"/>
      <c r="F976" s="23"/>
      <c r="G976" s="23"/>
      <c r="H976" s="23"/>
      <c r="I976" s="23"/>
      <c r="J976" s="23"/>
      <c r="K976" s="23"/>
      <c r="L976" s="23"/>
      <c r="M976" s="23"/>
      <c r="N976" s="23"/>
      <c r="O976" s="23"/>
      <c r="P976" s="23"/>
      <c r="Q976" s="23"/>
      <c r="R976" s="23"/>
      <c r="S976" s="23"/>
    </row>
    <row r="977" spans="1:19">
      <c r="A977" s="23"/>
      <c r="B977" s="23"/>
      <c r="C977" s="23"/>
      <c r="D977" s="23"/>
      <c r="E977" s="23"/>
      <c r="F977" s="23"/>
      <c r="G977" s="23"/>
      <c r="H977" s="23"/>
      <c r="I977" s="23"/>
      <c r="J977" s="23"/>
      <c r="K977" s="23"/>
      <c r="L977" s="23"/>
      <c r="M977" s="23"/>
      <c r="N977" s="23"/>
      <c r="O977" s="23"/>
      <c r="P977" s="23"/>
      <c r="Q977" s="23"/>
      <c r="R977" s="23"/>
      <c r="S977" s="23"/>
    </row>
    <row r="978" spans="1:19">
      <c r="A978" s="23"/>
      <c r="B978" s="23"/>
      <c r="C978" s="23"/>
      <c r="D978" s="23"/>
      <c r="E978" s="23"/>
      <c r="F978" s="23"/>
      <c r="G978" s="23"/>
      <c r="H978" s="23"/>
      <c r="I978" s="23"/>
      <c r="J978" s="23"/>
      <c r="K978" s="23"/>
      <c r="L978" s="23"/>
      <c r="M978" s="23"/>
      <c r="N978" s="23"/>
      <c r="O978" s="23"/>
      <c r="P978" s="23"/>
      <c r="Q978" s="23"/>
      <c r="R978" s="23"/>
      <c r="S978" s="23"/>
    </row>
    <row r="979" spans="1:19">
      <c r="A979" s="23"/>
      <c r="B979" s="23"/>
      <c r="C979" s="23"/>
      <c r="D979" s="23"/>
      <c r="E979" s="23"/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</row>
    <row r="980" spans="1:19">
      <c r="A980" s="23"/>
      <c r="B980" s="23"/>
      <c r="C980" s="23"/>
      <c r="D980" s="23"/>
      <c r="E980" s="23"/>
      <c r="F980" s="23"/>
      <c r="G980" s="23"/>
      <c r="H980" s="23"/>
      <c r="I980" s="23"/>
      <c r="J980" s="23"/>
      <c r="K980" s="23"/>
      <c r="L980" s="23"/>
      <c r="M980" s="23"/>
      <c r="N980" s="23"/>
      <c r="O980" s="23"/>
      <c r="P980" s="23"/>
      <c r="Q980" s="23"/>
      <c r="R980" s="23"/>
      <c r="S980" s="23"/>
    </row>
    <row r="981" spans="1:19">
      <c r="A981" s="23"/>
      <c r="B981" s="23"/>
      <c r="C981" s="23"/>
      <c r="D981" s="23"/>
      <c r="E981" s="23"/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</row>
    <row r="982" spans="1:19">
      <c r="A982" s="23"/>
      <c r="B982" s="23"/>
      <c r="C982" s="23"/>
      <c r="D982" s="23"/>
      <c r="E982" s="23"/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</row>
    <row r="983" spans="1:19">
      <c r="A983" s="23"/>
      <c r="B983" s="23"/>
      <c r="C983" s="23"/>
      <c r="D983" s="23"/>
      <c r="E983" s="23"/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</row>
    <row r="984" spans="1:19">
      <c r="A984" s="23"/>
      <c r="B984" s="23"/>
      <c r="C984" s="23"/>
      <c r="D984" s="23"/>
      <c r="E984" s="23"/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</row>
    <row r="985" spans="1:19">
      <c r="A985" s="23"/>
      <c r="B985" s="23"/>
      <c r="C985" s="23"/>
      <c r="D985" s="23"/>
      <c r="E985" s="23"/>
      <c r="F985" s="23"/>
      <c r="G985" s="23"/>
      <c r="H985" s="23"/>
      <c r="I985" s="23"/>
      <c r="J985" s="23"/>
      <c r="K985" s="23"/>
      <c r="L985" s="23"/>
      <c r="M985" s="23"/>
      <c r="N985" s="23"/>
      <c r="O985" s="23"/>
      <c r="P985" s="23"/>
      <c r="Q985" s="23"/>
      <c r="R985" s="23"/>
      <c r="S985" s="23"/>
    </row>
    <row r="986" spans="1:19">
      <c r="A986" s="23"/>
      <c r="B986" s="23"/>
      <c r="C986" s="23"/>
      <c r="D986" s="23"/>
      <c r="E986" s="23"/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23"/>
    </row>
    <row r="987" spans="1:19">
      <c r="A987" s="23"/>
      <c r="B987" s="23"/>
      <c r="C987" s="23"/>
      <c r="D987" s="23"/>
      <c r="E987" s="23"/>
      <c r="F987" s="23"/>
      <c r="G987" s="23"/>
      <c r="H987" s="23"/>
      <c r="I987" s="23"/>
      <c r="J987" s="23"/>
      <c r="K987" s="23"/>
      <c r="L987" s="23"/>
      <c r="M987" s="23"/>
      <c r="N987" s="23"/>
      <c r="O987" s="23"/>
      <c r="P987" s="23"/>
      <c r="Q987" s="23"/>
      <c r="R987" s="23"/>
      <c r="S987" s="23"/>
    </row>
    <row r="988" spans="1:19">
      <c r="A988" s="23"/>
      <c r="B988" s="23"/>
      <c r="C988" s="23"/>
      <c r="D988" s="23"/>
      <c r="E988" s="23"/>
      <c r="F988" s="23"/>
      <c r="G988" s="23"/>
      <c r="H988" s="23"/>
      <c r="I988" s="23"/>
      <c r="J988" s="23"/>
      <c r="K988" s="23"/>
      <c r="L988" s="23"/>
      <c r="M988" s="23"/>
      <c r="N988" s="23"/>
      <c r="O988" s="23"/>
      <c r="P988" s="23"/>
      <c r="Q988" s="23"/>
      <c r="R988" s="23"/>
      <c r="S988" s="23"/>
    </row>
    <row r="989" spans="1:19">
      <c r="A989" s="23"/>
      <c r="B989" s="23"/>
      <c r="C989" s="23"/>
      <c r="D989" s="23"/>
      <c r="E989" s="23"/>
      <c r="F989" s="23"/>
      <c r="G989" s="23"/>
      <c r="H989" s="23"/>
      <c r="I989" s="23"/>
      <c r="J989" s="23"/>
      <c r="K989" s="23"/>
      <c r="L989" s="23"/>
      <c r="M989" s="23"/>
      <c r="N989" s="23"/>
      <c r="O989" s="23"/>
      <c r="P989" s="23"/>
      <c r="Q989" s="23"/>
      <c r="R989" s="23"/>
      <c r="S989" s="23"/>
    </row>
    <row r="990" spans="1:19">
      <c r="A990" s="23"/>
      <c r="B990" s="23"/>
      <c r="C990" s="23"/>
      <c r="D990" s="23"/>
      <c r="E990" s="23"/>
      <c r="F990" s="23"/>
      <c r="G990" s="23"/>
      <c r="H990" s="23"/>
      <c r="I990" s="23"/>
      <c r="J990" s="23"/>
      <c r="K990" s="23"/>
      <c r="L990" s="23"/>
      <c r="M990" s="23"/>
      <c r="N990" s="23"/>
      <c r="O990" s="23"/>
      <c r="P990" s="23"/>
      <c r="Q990" s="23"/>
      <c r="R990" s="23"/>
      <c r="S990" s="23"/>
    </row>
    <row r="991" spans="1:19">
      <c r="A991" s="23"/>
      <c r="B991" s="23"/>
      <c r="C991" s="23"/>
      <c r="D991" s="23"/>
      <c r="E991" s="23"/>
      <c r="F991" s="23"/>
      <c r="G991" s="23"/>
      <c r="H991" s="23"/>
      <c r="I991" s="23"/>
      <c r="J991" s="23"/>
      <c r="K991" s="23"/>
      <c r="L991" s="23"/>
      <c r="M991" s="23"/>
      <c r="N991" s="23"/>
      <c r="O991" s="23"/>
      <c r="P991" s="23"/>
      <c r="Q991" s="23"/>
      <c r="R991" s="23"/>
      <c r="S991" s="23"/>
    </row>
    <row r="992" spans="1:19">
      <c r="A992" s="23"/>
      <c r="B992" s="23"/>
      <c r="C992" s="23"/>
      <c r="D992" s="23"/>
      <c r="E992" s="23"/>
      <c r="F992" s="23"/>
      <c r="G992" s="23"/>
      <c r="H992" s="23"/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</row>
    <row r="993" spans="1:19">
      <c r="A993" s="23"/>
      <c r="B993" s="23"/>
      <c r="C993" s="23"/>
      <c r="D993" s="23"/>
      <c r="E993" s="23"/>
      <c r="F993" s="23"/>
      <c r="G993" s="23"/>
      <c r="H993" s="23"/>
      <c r="I993" s="23"/>
      <c r="J993" s="23"/>
      <c r="K993" s="23"/>
      <c r="L993" s="23"/>
      <c r="M993" s="23"/>
      <c r="N993" s="23"/>
      <c r="O993" s="23"/>
      <c r="P993" s="23"/>
      <c r="Q993" s="23"/>
      <c r="R993" s="23"/>
      <c r="S993" s="23"/>
    </row>
    <row r="994" spans="1:19">
      <c r="A994" s="23"/>
      <c r="B994" s="23"/>
      <c r="C994" s="23"/>
      <c r="D994" s="23"/>
      <c r="E994" s="23"/>
      <c r="F994" s="23"/>
      <c r="G994" s="23"/>
      <c r="H994" s="23"/>
      <c r="I994" s="23"/>
      <c r="J994" s="23"/>
      <c r="K994" s="23"/>
      <c r="L994" s="23"/>
      <c r="M994" s="23"/>
      <c r="N994" s="23"/>
      <c r="O994" s="23"/>
      <c r="P994" s="23"/>
      <c r="Q994" s="23"/>
      <c r="R994" s="23"/>
      <c r="S994" s="23"/>
    </row>
    <row r="995" spans="1:19">
      <c r="A995" s="23"/>
      <c r="B995" s="23"/>
      <c r="C995" s="23"/>
      <c r="D995" s="23"/>
      <c r="E995" s="23"/>
      <c r="F995" s="23"/>
      <c r="G995" s="23"/>
      <c r="H995" s="23"/>
      <c r="I995" s="23"/>
      <c r="J995" s="23"/>
      <c r="K995" s="23"/>
      <c r="L995" s="23"/>
      <c r="M995" s="23"/>
      <c r="N995" s="23"/>
      <c r="O995" s="23"/>
      <c r="P995" s="23"/>
      <c r="Q995" s="23"/>
      <c r="R995" s="23"/>
      <c r="S995" s="23"/>
    </row>
    <row r="996" spans="1:19">
      <c r="A996" s="23"/>
      <c r="B996" s="23"/>
      <c r="C996" s="23"/>
      <c r="D996" s="23"/>
      <c r="E996" s="23"/>
      <c r="F996" s="23"/>
      <c r="G996" s="23"/>
      <c r="H996" s="23"/>
      <c r="I996" s="23"/>
      <c r="J996" s="23"/>
      <c r="K996" s="23"/>
      <c r="L996" s="23"/>
      <c r="M996" s="23"/>
      <c r="N996" s="23"/>
      <c r="O996" s="23"/>
      <c r="P996" s="23"/>
      <c r="Q996" s="23"/>
      <c r="R996" s="23"/>
      <c r="S996" s="23"/>
    </row>
    <row r="997" spans="1:19">
      <c r="A997" s="23"/>
      <c r="B997" s="23"/>
      <c r="C997" s="23"/>
      <c r="D997" s="23"/>
      <c r="E997" s="23"/>
      <c r="F997" s="23"/>
      <c r="G997" s="23"/>
      <c r="H997" s="23"/>
      <c r="I997" s="23"/>
      <c r="J997" s="23"/>
      <c r="K997" s="23"/>
      <c r="L997" s="23"/>
      <c r="M997" s="23"/>
      <c r="N997" s="23"/>
      <c r="O997" s="23"/>
      <c r="P997" s="23"/>
      <c r="Q997" s="23"/>
      <c r="R997" s="23"/>
      <c r="S997" s="23"/>
    </row>
    <row r="998" spans="1:19">
      <c r="A998" s="23"/>
      <c r="B998" s="23"/>
      <c r="C998" s="23"/>
      <c r="D998" s="23"/>
      <c r="E998" s="23"/>
      <c r="F998" s="23"/>
      <c r="G998" s="23"/>
      <c r="H998" s="23"/>
      <c r="I998" s="23"/>
      <c r="J998" s="23"/>
      <c r="K998" s="23"/>
      <c r="L998" s="23"/>
      <c r="M998" s="23"/>
      <c r="N998" s="23"/>
      <c r="O998" s="23"/>
      <c r="P998" s="23"/>
      <c r="Q998" s="23"/>
      <c r="R998" s="23"/>
      <c r="S998" s="23"/>
    </row>
    <row r="999" spans="1:19">
      <c r="A999" s="23"/>
      <c r="B999" s="23"/>
      <c r="C999" s="23"/>
      <c r="D999" s="23"/>
      <c r="E999" s="23"/>
      <c r="F999" s="23"/>
      <c r="G999" s="23"/>
      <c r="H999" s="23"/>
      <c r="I999" s="23"/>
      <c r="J999" s="23"/>
      <c r="K999" s="23"/>
      <c r="L999" s="23"/>
      <c r="M999" s="23"/>
      <c r="N999" s="23"/>
      <c r="O999" s="23"/>
      <c r="P999" s="23"/>
      <c r="Q999" s="23"/>
      <c r="R999" s="23"/>
      <c r="S999" s="23"/>
    </row>
    <row r="1000" spans="1:19">
      <c r="A1000" s="23"/>
      <c r="B1000" s="23"/>
      <c r="C1000" s="23"/>
      <c r="D1000" s="23"/>
      <c r="E1000" s="23"/>
      <c r="F1000" s="23"/>
      <c r="G1000" s="23"/>
      <c r="H1000" s="23"/>
      <c r="I1000" s="23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407"/>
  <sheetViews>
    <sheetView workbookViewId="0">
      <pane ySplit="1" topLeftCell="A49" activePane="bottomLeft" state="frozen"/>
      <selection activeCell="H3" sqref="H3:T13"/>
      <selection pane="bottomLeft" activeCell="H3" sqref="H3:T13"/>
    </sheetView>
  </sheetViews>
  <sheetFormatPr baseColWidth="10" defaultColWidth="11.1640625" defaultRowHeight="15" customHeight="1"/>
  <cols>
    <col min="1" max="1" width="46.1640625" customWidth="1"/>
    <col min="2" max="2" width="48.33203125" customWidth="1"/>
    <col min="3" max="3" width="57" customWidth="1"/>
    <col min="4" max="4" width="14.6640625" customWidth="1"/>
    <col min="5" max="6" width="21.1640625" customWidth="1"/>
    <col min="7" max="7" width="26.33203125" customWidth="1"/>
    <col min="8" max="8" width="13.6640625" customWidth="1"/>
    <col min="9" max="11" width="10.83203125" customWidth="1"/>
    <col min="12" max="16" width="10.5" customWidth="1"/>
    <col min="17" max="17" width="14" customWidth="1"/>
    <col min="18" max="18" width="11" customWidth="1"/>
    <col min="19" max="19" width="13.1640625" customWidth="1"/>
    <col min="20" max="21" width="12.33203125" customWidth="1"/>
  </cols>
  <sheetData>
    <row r="1" spans="1:21" ht="39.75" customHeight="1">
      <c r="A1" s="36" t="s">
        <v>0</v>
      </c>
      <c r="B1" s="37"/>
      <c r="C1" s="37"/>
      <c r="D1" s="37"/>
      <c r="E1" s="37"/>
      <c r="F1" s="37"/>
      <c r="G1" s="37"/>
      <c r="H1" s="38"/>
      <c r="I1" s="36" t="s">
        <v>1</v>
      </c>
      <c r="J1" s="37"/>
      <c r="K1" s="37"/>
      <c r="L1" s="37"/>
      <c r="M1" s="37"/>
      <c r="N1" s="37"/>
      <c r="O1" s="38"/>
      <c r="P1" s="39" t="s">
        <v>462</v>
      </c>
      <c r="Q1" s="37"/>
      <c r="R1" s="37"/>
      <c r="S1" s="37"/>
      <c r="T1" s="37"/>
      <c r="U1" s="38"/>
    </row>
    <row r="2" spans="1:21" ht="39.75" customHeight="1" thickTop="1" thickBot="1">
      <c r="A2" s="1" t="s">
        <v>3</v>
      </c>
      <c r="B2" s="2" t="s">
        <v>4</v>
      </c>
      <c r="C2" s="2" t="s">
        <v>5</v>
      </c>
      <c r="D2" s="2" t="s">
        <v>6</v>
      </c>
      <c r="E2" s="2" t="s">
        <v>7</v>
      </c>
      <c r="F2" s="2" t="s">
        <v>8</v>
      </c>
      <c r="G2" s="2" t="s">
        <v>9</v>
      </c>
      <c r="H2" s="2" t="s">
        <v>10</v>
      </c>
      <c r="I2" s="2" t="s">
        <v>11</v>
      </c>
      <c r="J2" s="3" t="s">
        <v>12</v>
      </c>
      <c r="K2" s="3" t="s">
        <v>13</v>
      </c>
      <c r="L2" s="3" t="s">
        <v>14</v>
      </c>
      <c r="M2" s="3" t="s">
        <v>15</v>
      </c>
      <c r="N2" s="3" t="s">
        <v>16</v>
      </c>
      <c r="O2" s="3" t="s">
        <v>17</v>
      </c>
      <c r="P2" s="3" t="s">
        <v>18</v>
      </c>
      <c r="Q2" s="3" t="s">
        <v>19</v>
      </c>
      <c r="R2" s="3" t="s">
        <v>20</v>
      </c>
      <c r="S2" s="3" t="s">
        <v>21</v>
      </c>
      <c r="T2" s="3" t="s">
        <v>22</v>
      </c>
      <c r="U2" s="2" t="s">
        <v>23</v>
      </c>
    </row>
    <row r="3" spans="1:21" ht="39.75" customHeight="1" thickTop="1" thickBot="1">
      <c r="A3" s="32" t="s">
        <v>24</v>
      </c>
      <c r="B3" s="29" t="s">
        <v>24</v>
      </c>
      <c r="C3" s="4" t="s">
        <v>25</v>
      </c>
      <c r="D3" s="5">
        <f>'PRESIDENCIA 25-26'!C3</f>
        <v>180</v>
      </c>
      <c r="E3" s="5" t="str">
        <f>'PRESIDENCIA 25-26'!D3</f>
        <v>CITA</v>
      </c>
      <c r="F3" s="5" t="str">
        <f>'PRESIDENCIA 25-26'!E3</f>
        <v>ASCENDENTE</v>
      </c>
      <c r="G3" s="5" t="str">
        <f>'PRESIDENCIA 25-26'!F3</f>
        <v>BITACORA DE ATENCION</v>
      </c>
      <c r="H3" s="28">
        <v>0</v>
      </c>
      <c r="I3" s="28">
        <v>0</v>
      </c>
      <c r="J3" s="28">
        <v>0</v>
      </c>
      <c r="K3" s="28">
        <v>50</v>
      </c>
      <c r="L3" s="28">
        <v>0</v>
      </c>
      <c r="M3" s="28">
        <v>0</v>
      </c>
      <c r="N3" s="28">
        <v>0</v>
      </c>
      <c r="O3" s="28">
        <v>0</v>
      </c>
      <c r="P3" s="28">
        <v>0</v>
      </c>
      <c r="Q3" s="28">
        <v>0</v>
      </c>
      <c r="R3" s="28">
        <v>0</v>
      </c>
      <c r="S3" s="28">
        <v>0</v>
      </c>
      <c r="T3" s="28">
        <v>50</v>
      </c>
      <c r="U3" s="5" t="e">
        <f>'PRESIDENCIA 25-26'!T3</f>
        <v>#REF!</v>
      </c>
    </row>
    <row r="4" spans="1:21" ht="39.75" customHeight="1" thickTop="1" thickBot="1">
      <c r="A4" s="30"/>
      <c r="B4" s="31"/>
      <c r="C4" s="4" t="s">
        <v>26</v>
      </c>
      <c r="D4" s="5">
        <f>'PRESIDENCIA 25-26'!C4</f>
        <v>780</v>
      </c>
      <c r="E4" s="5" t="str">
        <f>'PRESIDENCIA 25-26'!D4</f>
        <v>NÚM. DE PERSONAS</v>
      </c>
      <c r="F4" s="5" t="str">
        <f>'PRESIDENCIA 25-26'!E4</f>
        <v>ASCENDENTE</v>
      </c>
      <c r="G4" s="5" t="str">
        <f>'PRESIDENCIA 25-26'!F4</f>
        <v>BITACORA DE ATENCION</v>
      </c>
      <c r="H4" s="28">
        <v>0</v>
      </c>
      <c r="I4" s="28">
        <v>0</v>
      </c>
      <c r="J4" s="28">
        <v>0</v>
      </c>
      <c r="K4" s="28">
        <v>30</v>
      </c>
      <c r="L4" s="28">
        <v>0</v>
      </c>
      <c r="M4" s="28">
        <v>0</v>
      </c>
      <c r="N4" s="28">
        <v>0</v>
      </c>
      <c r="O4" s="28">
        <v>0</v>
      </c>
      <c r="P4" s="28">
        <v>0</v>
      </c>
      <c r="Q4" s="28">
        <v>0</v>
      </c>
      <c r="R4" s="28">
        <v>0</v>
      </c>
      <c r="S4" s="28">
        <v>0</v>
      </c>
      <c r="T4" s="28">
        <v>30</v>
      </c>
      <c r="U4" s="5" t="e">
        <f>'PRESIDENCIA 25-26'!T4</f>
        <v>#REF!</v>
      </c>
    </row>
    <row r="5" spans="1:21" ht="39.75" customHeight="1" thickTop="1" thickBot="1">
      <c r="A5" s="30"/>
      <c r="B5" s="29" t="s">
        <v>27</v>
      </c>
      <c r="C5" s="4" t="s">
        <v>26</v>
      </c>
      <c r="D5" s="5">
        <f>'PRESIDENCIA 25-26'!C5</f>
        <v>780</v>
      </c>
      <c r="E5" s="5" t="str">
        <f>'PRESIDENCIA 25-26'!D5</f>
        <v>NUM. PERSONAS</v>
      </c>
      <c r="F5" s="5" t="str">
        <f>'PRESIDENCIA 25-26'!E5</f>
        <v>ASCENDENTE</v>
      </c>
      <c r="G5" s="5" t="str">
        <f>'PRESIDENCIA 25-26'!F5</f>
        <v>BITACORA DE ATENCION</v>
      </c>
      <c r="H5" s="28">
        <v>0</v>
      </c>
      <c r="I5" s="28">
        <v>0</v>
      </c>
      <c r="J5" s="28">
        <v>0</v>
      </c>
      <c r="K5" s="28">
        <v>0</v>
      </c>
      <c r="L5" s="28">
        <v>0</v>
      </c>
      <c r="M5" s="28">
        <v>0</v>
      </c>
      <c r="N5" s="28">
        <v>0</v>
      </c>
      <c r="O5" s="28">
        <v>0</v>
      </c>
      <c r="P5" s="28">
        <v>0</v>
      </c>
      <c r="Q5" s="28">
        <v>0</v>
      </c>
      <c r="R5" s="28">
        <v>0</v>
      </c>
      <c r="S5" s="28">
        <v>0</v>
      </c>
      <c r="T5" s="28">
        <v>0</v>
      </c>
      <c r="U5" s="5" t="e">
        <f>'PRESIDENCIA 25-26'!T5</f>
        <v>#REF!</v>
      </c>
    </row>
    <row r="6" spans="1:21" ht="39.75" customHeight="1" thickTop="1" thickBot="1">
      <c r="A6" s="30"/>
      <c r="B6" s="31"/>
      <c r="C6" s="4" t="s">
        <v>28</v>
      </c>
      <c r="D6" s="5">
        <f>'PRESIDENCIA 25-26'!C6</f>
        <v>100</v>
      </c>
      <c r="E6" s="5" t="str">
        <f>'PRESIDENCIA 25-26'!D6</f>
        <v>NÚM. ACUERDOS</v>
      </c>
      <c r="F6" s="5" t="str">
        <f>'PRESIDENCIA 25-26'!E6</f>
        <v>ASCENDENTE</v>
      </c>
      <c r="G6" s="5" t="str">
        <f>'PRESIDENCIA 25-26'!F6</f>
        <v>MINUTA DE REUNION</v>
      </c>
      <c r="H6" s="28">
        <v>0</v>
      </c>
      <c r="I6" s="28">
        <v>0</v>
      </c>
      <c r="J6" s="28">
        <v>0</v>
      </c>
      <c r="K6" s="28">
        <v>0</v>
      </c>
      <c r="L6" s="28">
        <v>0</v>
      </c>
      <c r="M6" s="28">
        <v>0</v>
      </c>
      <c r="N6" s="28">
        <v>0</v>
      </c>
      <c r="O6" s="28">
        <v>0</v>
      </c>
      <c r="P6" s="28">
        <v>0</v>
      </c>
      <c r="Q6" s="28">
        <v>0</v>
      </c>
      <c r="R6" s="28">
        <v>0</v>
      </c>
      <c r="S6" s="28">
        <v>0</v>
      </c>
      <c r="T6" s="28">
        <v>0</v>
      </c>
      <c r="U6" s="5" t="e">
        <f>'PRESIDENCIA 25-26'!T6</f>
        <v>#REF!</v>
      </c>
    </row>
    <row r="7" spans="1:21" ht="39.75" customHeight="1" thickTop="1" thickBot="1">
      <c r="A7" s="30"/>
      <c r="B7" s="29" t="s">
        <v>29</v>
      </c>
      <c r="C7" s="4" t="s">
        <v>30</v>
      </c>
      <c r="D7" s="5">
        <f>'PRESIDENCIA 25-26'!C7</f>
        <v>350</v>
      </c>
      <c r="E7" s="5" t="str">
        <f>'PRESIDENCIA 25-26'!D7</f>
        <v>NÚM. DE SOLICITUDES</v>
      </c>
      <c r="F7" s="5" t="str">
        <f>'PRESIDENCIA 25-26'!E7</f>
        <v>ASCENDENTE</v>
      </c>
      <c r="G7" s="5" t="str">
        <f>'PRESIDENCIA 25-26'!F7</f>
        <v>PNT</v>
      </c>
      <c r="H7" s="28">
        <v>41</v>
      </c>
      <c r="I7" s="28">
        <v>60</v>
      </c>
      <c r="J7" s="28">
        <v>39</v>
      </c>
      <c r="K7" s="28">
        <v>52</v>
      </c>
      <c r="L7" s="28">
        <v>56</v>
      </c>
      <c r="M7" s="28">
        <v>63</v>
      </c>
      <c r="N7" s="28">
        <v>0</v>
      </c>
      <c r="O7" s="28">
        <v>0</v>
      </c>
      <c r="P7" s="28">
        <v>0</v>
      </c>
      <c r="Q7" s="28">
        <v>0</v>
      </c>
      <c r="R7" s="28">
        <v>0</v>
      </c>
      <c r="S7" s="28">
        <v>0</v>
      </c>
      <c r="T7" s="28">
        <v>311</v>
      </c>
      <c r="U7" s="5" t="e">
        <f>'PRESIDENCIA 25-26'!T7</f>
        <v>#REF!</v>
      </c>
    </row>
    <row r="8" spans="1:21" ht="39.75" customHeight="1" thickTop="1" thickBot="1">
      <c r="A8" s="30"/>
      <c r="B8" s="31"/>
      <c r="C8" s="4" t="s">
        <v>31</v>
      </c>
      <c r="D8" s="5">
        <f>'PRESIDENCIA 25-26'!C8</f>
        <v>12</v>
      </c>
      <c r="E8" s="5" t="str">
        <f>'PRESIDENCIA 25-26'!D8</f>
        <v>NÚM. DE CAPACITACIONES</v>
      </c>
      <c r="F8" s="5" t="str">
        <f>'PRESIDENCIA 25-26'!E8</f>
        <v>ASCENDENTE</v>
      </c>
      <c r="G8" s="5" t="str">
        <f>'PRESIDENCIA 25-26'!F8</f>
        <v>PROGRAMA ANUAL DE CAPACITACIONES</v>
      </c>
      <c r="H8" s="28">
        <v>0</v>
      </c>
      <c r="I8" s="28">
        <v>0</v>
      </c>
      <c r="J8" s="28">
        <v>1</v>
      </c>
      <c r="K8" s="28">
        <v>0</v>
      </c>
      <c r="L8" s="28">
        <v>0</v>
      </c>
      <c r="M8" s="28">
        <v>1</v>
      </c>
      <c r="N8" s="28">
        <v>0</v>
      </c>
      <c r="O8" s="28">
        <v>0</v>
      </c>
      <c r="P8" s="28">
        <v>0</v>
      </c>
      <c r="Q8" s="28">
        <v>0</v>
      </c>
      <c r="R8" s="28">
        <v>0</v>
      </c>
      <c r="S8" s="28">
        <v>0</v>
      </c>
      <c r="T8" s="28">
        <v>2</v>
      </c>
      <c r="U8" s="5" t="e">
        <f>'PRESIDENCIA 25-26'!T8</f>
        <v>#REF!</v>
      </c>
    </row>
    <row r="9" spans="1:21" ht="39.75" customHeight="1" thickTop="1" thickBot="1">
      <c r="A9" s="30"/>
      <c r="B9" s="29" t="s">
        <v>32</v>
      </c>
      <c r="C9" s="4" t="s">
        <v>33</v>
      </c>
      <c r="D9" s="5">
        <f>'PRESIDENCIA 25-26'!C9</f>
        <v>520</v>
      </c>
      <c r="E9" s="5" t="str">
        <f>'PRESIDENCIA 25-26'!D9</f>
        <v>NÚM. DE NOTAS PUBLICADAS</v>
      </c>
      <c r="F9" s="5" t="str">
        <f>'PRESIDENCIA 25-26'!E9</f>
        <v>ASCENDENTE</v>
      </c>
      <c r="G9" s="5" t="str">
        <f>'PRESIDENCIA 25-26'!F9</f>
        <v>BITACORA OPERATIVA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0</v>
      </c>
      <c r="N9" s="28">
        <v>0</v>
      </c>
      <c r="O9" s="28">
        <v>0</v>
      </c>
      <c r="P9" s="28">
        <v>0</v>
      </c>
      <c r="Q9" s="28">
        <v>0</v>
      </c>
      <c r="R9" s="28">
        <v>0</v>
      </c>
      <c r="S9" s="28">
        <v>0</v>
      </c>
      <c r="T9" s="28">
        <v>0</v>
      </c>
      <c r="U9" s="5" t="e">
        <f>'PRESIDENCIA 25-26'!T9</f>
        <v>#REF!</v>
      </c>
    </row>
    <row r="10" spans="1:21" ht="39.75" customHeight="1" thickTop="1" thickBot="1">
      <c r="A10" s="30"/>
      <c r="B10" s="30"/>
      <c r="C10" s="4" t="s">
        <v>34</v>
      </c>
      <c r="D10" s="5">
        <f>'PRESIDENCIA 25-26'!C10</f>
        <v>500</v>
      </c>
      <c r="E10" s="5" t="str">
        <f>'PRESIDENCIA 25-26'!D10</f>
        <v>NÚM. DE DISEÑOS REALIZADOS</v>
      </c>
      <c r="F10" s="5" t="str">
        <f>'PRESIDENCIA 25-26'!E10</f>
        <v>ASCENDENTE</v>
      </c>
      <c r="G10" s="5" t="str">
        <f>'PRESIDENCIA 25-26'!F10</f>
        <v>BITACORA OPERATIVA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  <c r="M10" s="28">
        <v>0</v>
      </c>
      <c r="N10" s="28">
        <v>0</v>
      </c>
      <c r="O10" s="28">
        <v>0</v>
      </c>
      <c r="P10" s="28">
        <v>0</v>
      </c>
      <c r="Q10" s="28">
        <v>0</v>
      </c>
      <c r="R10" s="28">
        <v>0</v>
      </c>
      <c r="S10" s="28">
        <v>0</v>
      </c>
      <c r="T10" s="28">
        <v>0</v>
      </c>
      <c r="U10" s="5" t="e">
        <f>'PRESIDENCIA 25-26'!T10</f>
        <v>#REF!</v>
      </c>
    </row>
    <row r="11" spans="1:21" ht="39.75" customHeight="1" thickTop="1" thickBot="1">
      <c r="A11" s="30"/>
      <c r="B11" s="31"/>
      <c r="C11" s="4" t="s">
        <v>35</v>
      </c>
      <c r="D11" s="5">
        <f>'PRESIDENCIA 25-26'!C11</f>
        <v>320</v>
      </c>
      <c r="E11" s="5" t="str">
        <f>'PRESIDENCIA 25-26'!D11</f>
        <v>NÚM. DE PUBLICCIONES</v>
      </c>
      <c r="F11" s="5" t="str">
        <f>'PRESIDENCIA 25-26'!E11</f>
        <v>ASCENDENTE</v>
      </c>
      <c r="G11" s="5" t="str">
        <f>'PRESIDENCIA 25-26'!F11</f>
        <v>BITACORA OPERATIVA</v>
      </c>
      <c r="H11" s="28">
        <v>0</v>
      </c>
      <c r="I11" s="28">
        <v>0</v>
      </c>
      <c r="J11" s="28">
        <v>0</v>
      </c>
      <c r="K11" s="28">
        <v>0</v>
      </c>
      <c r="L11" s="28">
        <v>0</v>
      </c>
      <c r="M11" s="28">
        <v>0</v>
      </c>
      <c r="N11" s="28">
        <v>0</v>
      </c>
      <c r="O11" s="28">
        <v>0</v>
      </c>
      <c r="P11" s="28">
        <v>0</v>
      </c>
      <c r="Q11" s="28">
        <v>0</v>
      </c>
      <c r="R11" s="28">
        <v>0</v>
      </c>
      <c r="S11" s="28">
        <v>0</v>
      </c>
      <c r="T11" s="28">
        <v>0</v>
      </c>
      <c r="U11" s="5" t="e">
        <f>'PRESIDENCIA 25-26'!T11</f>
        <v>#REF!</v>
      </c>
    </row>
    <row r="12" spans="1:21" ht="39.75" customHeight="1" thickTop="1" thickBot="1">
      <c r="A12" s="30"/>
      <c r="B12" s="29" t="s">
        <v>36</v>
      </c>
      <c r="C12" s="4" t="s">
        <v>37</v>
      </c>
      <c r="D12" s="5">
        <f>'PRESIDENCIA 25-26'!C12</f>
        <v>14</v>
      </c>
      <c r="E12" s="5" t="str">
        <f>'PRESIDENCIA 25-26'!D12</f>
        <v>NÚM. DE PROGRAMAS IMPLEMENTADOS</v>
      </c>
      <c r="F12" s="5" t="str">
        <f>'PRESIDENCIA 25-26'!E12</f>
        <v>ASCENDENTE</v>
      </c>
      <c r="G12" s="5" t="str">
        <f>'PRESIDENCIA 25-26'!F12</f>
        <v>PADRON UNICO DE BENEFICIADOS</v>
      </c>
      <c r="H12" s="28">
        <v>0</v>
      </c>
      <c r="I12" s="28">
        <v>0</v>
      </c>
      <c r="J12" s="28">
        <v>0</v>
      </c>
      <c r="K12" s="28">
        <v>0</v>
      </c>
      <c r="L12" s="28">
        <v>0</v>
      </c>
      <c r="M12" s="28">
        <v>0</v>
      </c>
      <c r="N12" s="28">
        <v>0</v>
      </c>
      <c r="O12" s="28">
        <v>0</v>
      </c>
      <c r="P12" s="28">
        <v>0</v>
      </c>
      <c r="Q12" s="28">
        <v>0</v>
      </c>
      <c r="R12" s="28">
        <v>0</v>
      </c>
      <c r="S12" s="28">
        <v>0</v>
      </c>
      <c r="T12" s="28">
        <v>0</v>
      </c>
      <c r="U12" s="5" t="e">
        <f>'PRESIDENCIA 25-26'!T12</f>
        <v>#REF!</v>
      </c>
    </row>
    <row r="13" spans="1:21" ht="39.75" customHeight="1" thickTop="1" thickBot="1">
      <c r="A13" s="31"/>
      <c r="B13" s="31"/>
      <c r="C13" s="4" t="s">
        <v>38</v>
      </c>
      <c r="D13" s="5">
        <f>'PRESIDENCIA 25-26'!C13</f>
        <v>66</v>
      </c>
      <c r="E13" s="5" t="str">
        <f>'PRESIDENCIA 25-26'!D13</f>
        <v>NUM. PERSONAS</v>
      </c>
      <c r="F13" s="5" t="str">
        <f>'PRESIDENCIA 25-26'!E13</f>
        <v>ASCENDENTE</v>
      </c>
      <c r="G13" s="5" t="str">
        <f>'PRESIDENCIA 25-26'!F13</f>
        <v>PADRON UNICO DE BENEFICIADOS</v>
      </c>
      <c r="H13" s="28">
        <v>0</v>
      </c>
      <c r="I13" s="28">
        <v>0</v>
      </c>
      <c r="J13" s="28">
        <v>0</v>
      </c>
      <c r="K13" s="28">
        <v>0</v>
      </c>
      <c r="L13" s="28">
        <v>0</v>
      </c>
      <c r="M13" s="28">
        <v>0</v>
      </c>
      <c r="N13" s="28">
        <v>0</v>
      </c>
      <c r="O13" s="28">
        <v>0</v>
      </c>
      <c r="P13" s="28">
        <v>0</v>
      </c>
      <c r="Q13" s="28">
        <v>0</v>
      </c>
      <c r="R13" s="28">
        <v>0</v>
      </c>
      <c r="S13" s="28">
        <v>0</v>
      </c>
      <c r="T13" s="28">
        <v>0</v>
      </c>
      <c r="U13" s="5" t="e">
        <f>'PRESIDENCIA 25-26'!T13</f>
        <v>#REF!</v>
      </c>
    </row>
    <row r="14" spans="1:21" ht="39.75" customHeight="1" thickTop="1" thickBot="1">
      <c r="A14" s="32" t="s">
        <v>39</v>
      </c>
      <c r="B14" s="12" t="s">
        <v>40</v>
      </c>
      <c r="C14" s="5" t="s">
        <v>37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</row>
    <row r="15" spans="1:21" ht="39.75" customHeight="1">
      <c r="A15" s="30"/>
      <c r="B15" s="12"/>
      <c r="C15" s="5" t="s">
        <v>38</v>
      </c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</row>
    <row r="16" spans="1:21" ht="39.75" customHeight="1">
      <c r="A16" s="30"/>
      <c r="B16" s="12" t="s">
        <v>41</v>
      </c>
      <c r="C16" s="5" t="s">
        <v>42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</row>
    <row r="17" spans="1:21" ht="39.75" customHeight="1">
      <c r="A17" s="30"/>
      <c r="B17" s="32" t="s">
        <v>43</v>
      </c>
      <c r="C17" s="5" t="s">
        <v>44</v>
      </c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</row>
    <row r="18" spans="1:21" ht="39.75" customHeight="1">
      <c r="A18" s="30"/>
      <c r="B18" s="31"/>
      <c r="C18" s="5" t="s">
        <v>45</v>
      </c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</row>
    <row r="19" spans="1:21" ht="39.75" customHeight="1">
      <c r="A19" s="30"/>
      <c r="B19" s="32" t="s">
        <v>46</v>
      </c>
      <c r="C19" s="5" t="s">
        <v>47</v>
      </c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</row>
    <row r="20" spans="1:21" ht="39.75" customHeight="1">
      <c r="A20" s="30"/>
      <c r="B20" s="30"/>
      <c r="C20" s="5" t="s">
        <v>48</v>
      </c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</row>
    <row r="21" spans="1:21" ht="39.75" customHeight="1">
      <c r="A21" s="31"/>
      <c r="B21" s="31"/>
      <c r="C21" s="5" t="s">
        <v>49</v>
      </c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</row>
    <row r="22" spans="1:21" ht="39.75" customHeight="1">
      <c r="A22" s="32" t="s">
        <v>50</v>
      </c>
      <c r="B22" s="32" t="s">
        <v>50</v>
      </c>
      <c r="C22" s="5" t="s">
        <v>51</v>
      </c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</row>
    <row r="23" spans="1:21" ht="39.75" customHeight="1">
      <c r="A23" s="30"/>
      <c r="B23" s="30"/>
      <c r="C23" s="5" t="s">
        <v>52</v>
      </c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</row>
    <row r="24" spans="1:21" ht="39.75" customHeight="1">
      <c r="A24" s="30"/>
      <c r="B24" s="31"/>
      <c r="C24" s="5" t="s">
        <v>53</v>
      </c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</row>
    <row r="25" spans="1:21" ht="39.75" customHeight="1">
      <c r="A25" s="30"/>
      <c r="B25" s="32" t="s">
        <v>54</v>
      </c>
      <c r="C25" s="5" t="s">
        <v>55</v>
      </c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</row>
    <row r="26" spans="1:21" ht="39.75" customHeight="1">
      <c r="A26" s="30"/>
      <c r="B26" s="30"/>
      <c r="C26" s="5" t="s">
        <v>56</v>
      </c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</row>
    <row r="27" spans="1:21" ht="39.75" customHeight="1">
      <c r="A27" s="30"/>
      <c r="B27" s="30"/>
      <c r="C27" s="5" t="s">
        <v>57</v>
      </c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</row>
    <row r="28" spans="1:21" ht="39.75" customHeight="1">
      <c r="A28" s="30"/>
      <c r="B28" s="30"/>
      <c r="C28" s="5" t="s">
        <v>58</v>
      </c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</row>
    <row r="29" spans="1:21" ht="39.75" customHeight="1">
      <c r="A29" s="30"/>
      <c r="B29" s="31"/>
      <c r="C29" s="5" t="s">
        <v>59</v>
      </c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</row>
    <row r="30" spans="1:21" ht="39.75" customHeight="1">
      <c r="A30" s="30"/>
      <c r="B30" s="32" t="s">
        <v>60</v>
      </c>
      <c r="C30" s="5" t="s">
        <v>61</v>
      </c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</row>
    <row r="31" spans="1:21" ht="39.75" customHeight="1">
      <c r="A31" s="30"/>
      <c r="B31" s="30"/>
      <c r="C31" s="5" t="s">
        <v>62</v>
      </c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</row>
    <row r="32" spans="1:21" ht="39.75" customHeight="1">
      <c r="A32" s="30"/>
      <c r="B32" s="30"/>
      <c r="C32" s="5" t="s">
        <v>63</v>
      </c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</row>
    <row r="33" spans="1:21" ht="39.75" customHeight="1">
      <c r="A33" s="30"/>
      <c r="B33" s="30"/>
      <c r="C33" s="5" t="s">
        <v>64</v>
      </c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</row>
    <row r="34" spans="1:21" ht="39.75" customHeight="1">
      <c r="A34" s="30"/>
      <c r="B34" s="30"/>
      <c r="C34" s="5" t="s">
        <v>65</v>
      </c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</row>
    <row r="35" spans="1:21" ht="39.75" customHeight="1">
      <c r="A35" s="30"/>
      <c r="B35" s="30"/>
      <c r="C35" s="5" t="s">
        <v>52</v>
      </c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</row>
    <row r="36" spans="1:21" ht="39.75" customHeight="1">
      <c r="A36" s="31"/>
      <c r="B36" s="31"/>
      <c r="C36" s="5" t="s">
        <v>66</v>
      </c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</row>
    <row r="37" spans="1:21" ht="39.75" customHeight="1">
      <c r="A37" s="32" t="s">
        <v>67</v>
      </c>
      <c r="B37" s="32" t="s">
        <v>68</v>
      </c>
      <c r="C37" s="5" t="s">
        <v>69</v>
      </c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</row>
    <row r="38" spans="1:21" ht="39.75" customHeight="1">
      <c r="A38" s="30"/>
      <c r="B38" s="30"/>
      <c r="C38" s="5" t="s">
        <v>70</v>
      </c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</row>
    <row r="39" spans="1:21" ht="39.75" customHeight="1">
      <c r="A39" s="30"/>
      <c r="B39" s="30"/>
      <c r="C39" s="5" t="s">
        <v>71</v>
      </c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</row>
    <row r="40" spans="1:21" ht="39.75" customHeight="1">
      <c r="A40" s="30"/>
      <c r="B40" s="30"/>
      <c r="C40" s="5" t="s">
        <v>72</v>
      </c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</row>
    <row r="41" spans="1:21" ht="39.75" customHeight="1">
      <c r="A41" s="30"/>
      <c r="B41" s="31"/>
      <c r="C41" s="5" t="s">
        <v>73</v>
      </c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</row>
    <row r="42" spans="1:21" ht="39.75" customHeight="1">
      <c r="A42" s="30"/>
      <c r="B42" s="32" t="s">
        <v>74</v>
      </c>
      <c r="C42" s="5" t="s">
        <v>75</v>
      </c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</row>
    <row r="43" spans="1:21" ht="39.75" customHeight="1">
      <c r="A43" s="30"/>
      <c r="B43" s="30"/>
      <c r="C43" s="5" t="s">
        <v>76</v>
      </c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</row>
    <row r="44" spans="1:21" ht="39.75" customHeight="1">
      <c r="A44" s="30"/>
      <c r="B44" s="31"/>
      <c r="C44" s="5" t="s">
        <v>77</v>
      </c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</row>
    <row r="45" spans="1:21" ht="39.75" customHeight="1">
      <c r="A45" s="30"/>
      <c r="B45" s="32" t="s">
        <v>78</v>
      </c>
      <c r="C45" s="5" t="s">
        <v>79</v>
      </c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</row>
    <row r="46" spans="1:21" ht="39.75" customHeight="1">
      <c r="A46" s="30"/>
      <c r="B46" s="30"/>
      <c r="C46" s="5" t="s">
        <v>80</v>
      </c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</row>
    <row r="47" spans="1:21" ht="39.75" customHeight="1">
      <c r="A47" s="30"/>
      <c r="B47" s="30"/>
      <c r="C47" s="5" t="s">
        <v>77</v>
      </c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</row>
    <row r="48" spans="1:21" ht="39.75" customHeight="1">
      <c r="A48" s="30"/>
      <c r="B48" s="30"/>
      <c r="C48" s="5" t="s">
        <v>81</v>
      </c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</row>
    <row r="49" spans="1:21" ht="39.75" customHeight="1">
      <c r="A49" s="30"/>
      <c r="B49" s="31"/>
      <c r="C49" s="5" t="s">
        <v>82</v>
      </c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</row>
    <row r="50" spans="1:21" ht="39.75" customHeight="1">
      <c r="A50" s="30"/>
      <c r="B50" s="32" t="s">
        <v>83</v>
      </c>
      <c r="C50" s="5" t="s">
        <v>84</v>
      </c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</row>
    <row r="51" spans="1:21" ht="39.75" customHeight="1">
      <c r="A51" s="30"/>
      <c r="B51" s="30"/>
      <c r="C51" s="5" t="s">
        <v>72</v>
      </c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</row>
    <row r="52" spans="1:21" ht="39.75" customHeight="1">
      <c r="A52" s="31"/>
      <c r="B52" s="31"/>
      <c r="C52" s="5" t="s">
        <v>85</v>
      </c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</row>
    <row r="53" spans="1:21" ht="39.75" customHeight="1">
      <c r="A53" s="32" t="s">
        <v>86</v>
      </c>
      <c r="B53" s="32" t="s">
        <v>87</v>
      </c>
      <c r="C53" s="5" t="s">
        <v>88</v>
      </c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</row>
    <row r="54" spans="1:21" ht="39.75" customHeight="1">
      <c r="A54" s="30"/>
      <c r="B54" s="30"/>
      <c r="C54" s="5" t="s">
        <v>89</v>
      </c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</row>
    <row r="55" spans="1:21" ht="39.75" customHeight="1">
      <c r="A55" s="30"/>
      <c r="B55" s="30"/>
      <c r="C55" s="5" t="s">
        <v>90</v>
      </c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</row>
    <row r="56" spans="1:21" ht="39.75" customHeight="1">
      <c r="A56" s="30"/>
      <c r="B56" s="31"/>
      <c r="C56" s="5" t="s">
        <v>91</v>
      </c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</row>
    <row r="57" spans="1:21" ht="39.75" customHeight="1">
      <c r="A57" s="30"/>
      <c r="B57" s="33" t="s">
        <v>92</v>
      </c>
      <c r="C57" s="5" t="s">
        <v>93</v>
      </c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</row>
    <row r="58" spans="1:21" ht="39.75" customHeight="1">
      <c r="A58" s="30"/>
      <c r="B58" s="30"/>
      <c r="C58" s="9" t="s">
        <v>94</v>
      </c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</row>
    <row r="59" spans="1:21" ht="39.75" customHeight="1">
      <c r="A59" s="30"/>
      <c r="B59" s="30"/>
      <c r="C59" s="9" t="s">
        <v>95</v>
      </c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</row>
    <row r="60" spans="1:21" ht="39.75" customHeight="1">
      <c r="A60" s="30"/>
      <c r="B60" s="30"/>
      <c r="C60" s="9" t="s">
        <v>96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</row>
    <row r="61" spans="1:21" ht="39.75" customHeight="1">
      <c r="A61" s="30"/>
      <c r="B61" s="30"/>
      <c r="C61" s="9" t="s">
        <v>97</v>
      </c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</row>
    <row r="62" spans="1:21" ht="39.75" customHeight="1">
      <c r="A62" s="30"/>
      <c r="B62" s="31"/>
      <c r="C62" s="9" t="s">
        <v>98</v>
      </c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</row>
    <row r="63" spans="1:21" ht="39.75" customHeight="1">
      <c r="A63" s="30"/>
      <c r="B63" s="33" t="s">
        <v>99</v>
      </c>
      <c r="C63" s="9" t="s">
        <v>100</v>
      </c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</row>
    <row r="64" spans="1:21" ht="39.75" customHeight="1">
      <c r="A64" s="30"/>
      <c r="B64" s="30"/>
      <c r="C64" s="9" t="s">
        <v>101</v>
      </c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</row>
    <row r="65" spans="1:21" ht="39.75" customHeight="1">
      <c r="A65" s="30"/>
      <c r="B65" s="30"/>
      <c r="C65" s="9" t="s">
        <v>102</v>
      </c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</row>
    <row r="66" spans="1:21" ht="39.75" customHeight="1">
      <c r="A66" s="30"/>
      <c r="B66" s="31"/>
      <c r="C66" s="9" t="s">
        <v>103</v>
      </c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</row>
    <row r="67" spans="1:21" ht="39.75" customHeight="1">
      <c r="A67" s="30"/>
      <c r="B67" s="15" t="s">
        <v>104</v>
      </c>
      <c r="C67" s="9" t="s">
        <v>105</v>
      </c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</row>
    <row r="68" spans="1:21" ht="39.75" customHeight="1">
      <c r="A68" s="30"/>
      <c r="B68" s="33" t="s">
        <v>106</v>
      </c>
      <c r="C68" s="9" t="s">
        <v>107</v>
      </c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</row>
    <row r="69" spans="1:21" ht="39.75" customHeight="1">
      <c r="A69" s="30"/>
      <c r="B69" s="30"/>
      <c r="C69" s="9" t="s">
        <v>108</v>
      </c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</row>
    <row r="70" spans="1:21" ht="39.75" customHeight="1">
      <c r="A70" s="30"/>
      <c r="B70" s="30"/>
      <c r="C70" s="9" t="s">
        <v>57</v>
      </c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</row>
    <row r="71" spans="1:21" ht="39.75" customHeight="1">
      <c r="A71" s="30"/>
      <c r="B71" s="30"/>
      <c r="C71" s="9" t="s">
        <v>109</v>
      </c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</row>
    <row r="72" spans="1:21" ht="39.75" customHeight="1">
      <c r="A72" s="30"/>
      <c r="B72" s="30"/>
      <c r="C72" s="9" t="s">
        <v>110</v>
      </c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</row>
    <row r="73" spans="1:21" ht="39.75" customHeight="1">
      <c r="A73" s="30"/>
      <c r="B73" s="30"/>
      <c r="C73" s="9" t="s">
        <v>111</v>
      </c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</row>
    <row r="74" spans="1:21" ht="39.75" customHeight="1">
      <c r="A74" s="30"/>
      <c r="B74" s="30"/>
      <c r="C74" s="9" t="s">
        <v>112</v>
      </c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</row>
    <row r="75" spans="1:21" ht="39.75" customHeight="1">
      <c r="A75" s="30"/>
      <c r="B75" s="30"/>
      <c r="C75" s="9" t="s">
        <v>113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</row>
    <row r="76" spans="1:21" ht="39.75" customHeight="1">
      <c r="A76" s="30"/>
      <c r="B76" s="30"/>
      <c r="C76" s="9" t="s">
        <v>114</v>
      </c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</row>
    <row r="77" spans="1:21" ht="39.75" customHeight="1">
      <c r="A77" s="31"/>
      <c r="B77" s="31"/>
      <c r="C77" s="9" t="s">
        <v>115</v>
      </c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</row>
    <row r="78" spans="1:21" ht="39.75" customHeight="1">
      <c r="A78" s="32" t="s">
        <v>116</v>
      </c>
      <c r="B78" s="32" t="s">
        <v>117</v>
      </c>
      <c r="C78" s="5" t="s">
        <v>118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</row>
    <row r="79" spans="1:21" ht="39.75" customHeight="1">
      <c r="A79" s="30"/>
      <c r="B79" s="30"/>
      <c r="C79" s="5" t="s">
        <v>119</v>
      </c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</row>
    <row r="80" spans="1:21" ht="39.75" customHeight="1">
      <c r="A80" s="30"/>
      <c r="B80" s="30"/>
      <c r="C80" s="5" t="s">
        <v>120</v>
      </c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</row>
    <row r="81" spans="1:21" ht="39.75" customHeight="1">
      <c r="A81" s="30"/>
      <c r="B81" s="30"/>
      <c r="C81" s="5" t="s">
        <v>121</v>
      </c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</row>
    <row r="82" spans="1:21" ht="39.75" customHeight="1">
      <c r="A82" s="30"/>
      <c r="B82" s="30"/>
      <c r="C82" s="5" t="s">
        <v>122</v>
      </c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</row>
    <row r="83" spans="1:21" ht="39.75" customHeight="1">
      <c r="A83" s="30"/>
      <c r="B83" s="30"/>
      <c r="C83" s="5" t="s">
        <v>123</v>
      </c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</row>
    <row r="84" spans="1:21" ht="39.75" customHeight="1">
      <c r="A84" s="30"/>
      <c r="B84" s="30"/>
      <c r="C84" s="5" t="s">
        <v>124</v>
      </c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</row>
    <row r="85" spans="1:21" ht="39.75" customHeight="1">
      <c r="A85" s="30"/>
      <c r="B85" s="31"/>
      <c r="C85" s="5" t="s">
        <v>125</v>
      </c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</row>
    <row r="86" spans="1:21" ht="39.75" customHeight="1">
      <c r="A86" s="30"/>
      <c r="B86" s="32" t="s">
        <v>126</v>
      </c>
      <c r="C86" s="5" t="s">
        <v>127</v>
      </c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</row>
    <row r="87" spans="1:21" ht="39.75" customHeight="1">
      <c r="A87" s="30"/>
      <c r="B87" s="30"/>
      <c r="C87" s="5" t="s">
        <v>128</v>
      </c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</row>
    <row r="88" spans="1:21" ht="39.75" customHeight="1">
      <c r="A88" s="30"/>
      <c r="B88" s="30"/>
      <c r="C88" s="5" t="s">
        <v>129</v>
      </c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</row>
    <row r="89" spans="1:21" ht="39.75" customHeight="1">
      <c r="A89" s="30"/>
      <c r="B89" s="30"/>
      <c r="C89" s="5" t="s">
        <v>130</v>
      </c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</row>
    <row r="90" spans="1:21" ht="39.75" customHeight="1">
      <c r="A90" s="30"/>
      <c r="B90" s="31"/>
      <c r="C90" s="5" t="s">
        <v>131</v>
      </c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</row>
    <row r="91" spans="1:21" ht="39.75" customHeight="1">
      <c r="A91" s="30"/>
      <c r="B91" s="32" t="s">
        <v>132</v>
      </c>
      <c r="C91" s="5" t="s">
        <v>133</v>
      </c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</row>
    <row r="92" spans="1:21" ht="39.75" customHeight="1">
      <c r="A92" s="30"/>
      <c r="B92" s="30"/>
      <c r="C92" s="5" t="s">
        <v>134</v>
      </c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</row>
    <row r="93" spans="1:21" ht="39.75" customHeight="1">
      <c r="A93" s="30"/>
      <c r="B93" s="30"/>
      <c r="C93" s="5" t="s">
        <v>135</v>
      </c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</row>
    <row r="94" spans="1:21" ht="39.75" customHeight="1">
      <c r="A94" s="30"/>
      <c r="B94" s="30"/>
      <c r="C94" s="5" t="s">
        <v>136</v>
      </c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</row>
    <row r="95" spans="1:21" ht="39.75" customHeight="1">
      <c r="A95" s="31"/>
      <c r="B95" s="31"/>
      <c r="C95" s="5" t="s">
        <v>137</v>
      </c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</row>
    <row r="96" spans="1:21" ht="39.75" customHeight="1">
      <c r="A96" s="32" t="s">
        <v>138</v>
      </c>
      <c r="B96" s="32" t="s">
        <v>139</v>
      </c>
      <c r="C96" s="5" t="s">
        <v>140</v>
      </c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</row>
    <row r="97" spans="1:21" ht="39.75" customHeight="1">
      <c r="A97" s="30"/>
      <c r="B97" s="30"/>
      <c r="C97" s="5" t="s">
        <v>141</v>
      </c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</row>
    <row r="98" spans="1:21" ht="39.75" customHeight="1">
      <c r="A98" s="30"/>
      <c r="B98" s="30"/>
      <c r="C98" s="5" t="s">
        <v>142</v>
      </c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</row>
    <row r="99" spans="1:21" ht="39.75" customHeight="1">
      <c r="A99" s="30"/>
      <c r="B99" s="31"/>
      <c r="C99" s="5" t="s">
        <v>143</v>
      </c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</row>
    <row r="100" spans="1:21" ht="39.75" customHeight="1">
      <c r="A100" s="30"/>
      <c r="B100" s="32" t="s">
        <v>144</v>
      </c>
      <c r="C100" s="5" t="s">
        <v>145</v>
      </c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</row>
    <row r="101" spans="1:21" ht="39.75" customHeight="1">
      <c r="A101" s="30"/>
      <c r="B101" s="30"/>
      <c r="C101" s="5" t="s">
        <v>146</v>
      </c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</row>
    <row r="102" spans="1:21" ht="39.75" customHeight="1">
      <c r="A102" s="30"/>
      <c r="B102" s="30"/>
      <c r="C102" s="5" t="s">
        <v>147</v>
      </c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</row>
    <row r="103" spans="1:21" ht="39.75" customHeight="1">
      <c r="A103" s="30"/>
      <c r="B103" s="30"/>
      <c r="C103" s="5" t="s">
        <v>148</v>
      </c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</row>
    <row r="104" spans="1:21" ht="39.75" customHeight="1">
      <c r="A104" s="30"/>
      <c r="B104" s="30"/>
      <c r="C104" s="5" t="s">
        <v>149</v>
      </c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</row>
    <row r="105" spans="1:21" ht="39.75" customHeight="1">
      <c r="A105" s="30"/>
      <c r="B105" s="30"/>
      <c r="C105" s="5" t="s">
        <v>150</v>
      </c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</row>
    <row r="106" spans="1:21" ht="39.75" customHeight="1">
      <c r="A106" s="30"/>
      <c r="B106" s="30"/>
      <c r="C106" s="5" t="s">
        <v>151</v>
      </c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</row>
    <row r="107" spans="1:21" ht="39.75" customHeight="1">
      <c r="A107" s="30"/>
      <c r="B107" s="30"/>
      <c r="C107" s="5" t="s">
        <v>152</v>
      </c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</row>
    <row r="108" spans="1:21" ht="39.75" customHeight="1">
      <c r="A108" s="30"/>
      <c r="B108" s="30"/>
      <c r="C108" s="5" t="s">
        <v>153</v>
      </c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</row>
    <row r="109" spans="1:21" ht="39.75" customHeight="1">
      <c r="A109" s="30"/>
      <c r="B109" s="30"/>
      <c r="C109" s="5" t="s">
        <v>154</v>
      </c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</row>
    <row r="110" spans="1:21" ht="39.75" customHeight="1">
      <c r="A110" s="30"/>
      <c r="B110" s="30"/>
      <c r="C110" s="5" t="s">
        <v>155</v>
      </c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</row>
    <row r="111" spans="1:21" ht="39.75" customHeight="1">
      <c r="A111" s="30"/>
      <c r="B111" s="30"/>
      <c r="C111" s="5" t="s">
        <v>156</v>
      </c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</row>
    <row r="112" spans="1:21" ht="39.75" customHeight="1">
      <c r="A112" s="30"/>
      <c r="B112" s="30"/>
      <c r="C112" s="5" t="s">
        <v>157</v>
      </c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</row>
    <row r="113" spans="1:21" ht="39.75" customHeight="1">
      <c r="A113" s="30"/>
      <c r="B113" s="30"/>
      <c r="C113" s="5" t="s">
        <v>158</v>
      </c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</row>
    <row r="114" spans="1:21" ht="39.75" customHeight="1">
      <c r="A114" s="30"/>
      <c r="B114" s="30"/>
      <c r="C114" s="5" t="s">
        <v>159</v>
      </c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</row>
    <row r="115" spans="1:21" ht="39.75" customHeight="1">
      <c r="A115" s="30"/>
      <c r="B115" s="30"/>
      <c r="C115" s="5" t="s">
        <v>160</v>
      </c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</row>
    <row r="116" spans="1:21" ht="39.75" customHeight="1">
      <c r="A116" s="30"/>
      <c r="B116" s="30"/>
      <c r="C116" s="5" t="s">
        <v>161</v>
      </c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</row>
    <row r="117" spans="1:21" ht="39.75" customHeight="1">
      <c r="A117" s="30"/>
      <c r="B117" s="30"/>
      <c r="C117" s="5" t="s">
        <v>162</v>
      </c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</row>
    <row r="118" spans="1:21" ht="39.75" customHeight="1">
      <c r="A118" s="30"/>
      <c r="B118" s="31"/>
      <c r="C118" s="5" t="s">
        <v>163</v>
      </c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</row>
    <row r="119" spans="1:21" ht="39.75" customHeight="1">
      <c r="A119" s="30"/>
      <c r="B119" s="32" t="s">
        <v>164</v>
      </c>
      <c r="C119" s="5" t="s">
        <v>165</v>
      </c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</row>
    <row r="120" spans="1:21" ht="39.75" customHeight="1">
      <c r="A120" s="30"/>
      <c r="B120" s="30"/>
      <c r="C120" s="5" t="s">
        <v>166</v>
      </c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</row>
    <row r="121" spans="1:21" ht="39.75" customHeight="1">
      <c r="A121" s="30"/>
      <c r="B121" s="30"/>
      <c r="C121" s="5" t="s">
        <v>167</v>
      </c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</row>
    <row r="122" spans="1:21" ht="39.75" customHeight="1">
      <c r="A122" s="30"/>
      <c r="B122" s="30"/>
      <c r="C122" s="5" t="s">
        <v>168</v>
      </c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</row>
    <row r="123" spans="1:21" ht="39.75" customHeight="1">
      <c r="A123" s="30"/>
      <c r="B123" s="30"/>
      <c r="C123" s="5" t="s">
        <v>169</v>
      </c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</row>
    <row r="124" spans="1:21" ht="39.75" customHeight="1">
      <c r="A124" s="30"/>
      <c r="B124" s="30"/>
      <c r="C124" s="5" t="s">
        <v>170</v>
      </c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</row>
    <row r="125" spans="1:21" ht="39.75" customHeight="1">
      <c r="A125" s="30"/>
      <c r="B125" s="30"/>
      <c r="C125" s="5" t="s">
        <v>171</v>
      </c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</row>
    <row r="126" spans="1:21" ht="39.75" customHeight="1">
      <c r="A126" s="30"/>
      <c r="B126" s="30"/>
      <c r="C126" s="5" t="s">
        <v>166</v>
      </c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</row>
    <row r="127" spans="1:21" ht="39.75" customHeight="1">
      <c r="A127" s="30"/>
      <c r="B127" s="30"/>
      <c r="C127" s="5" t="s">
        <v>167</v>
      </c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</row>
    <row r="128" spans="1:21" ht="39.75" customHeight="1">
      <c r="A128" s="30"/>
      <c r="B128" s="30"/>
      <c r="C128" s="5" t="s">
        <v>172</v>
      </c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</row>
    <row r="129" spans="1:21" ht="39.75" customHeight="1">
      <c r="A129" s="30"/>
      <c r="B129" s="30"/>
      <c r="C129" s="5" t="s">
        <v>166</v>
      </c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</row>
    <row r="130" spans="1:21" ht="39.75" customHeight="1">
      <c r="A130" s="30"/>
      <c r="B130" s="31"/>
      <c r="C130" s="5" t="s">
        <v>167</v>
      </c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</row>
    <row r="131" spans="1:21" ht="39.75" customHeight="1">
      <c r="A131" s="30"/>
      <c r="B131" s="32" t="s">
        <v>173</v>
      </c>
      <c r="C131" s="5" t="s">
        <v>174</v>
      </c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</row>
    <row r="132" spans="1:21" ht="39.75" customHeight="1">
      <c r="A132" s="30"/>
      <c r="B132" s="30"/>
      <c r="C132" s="5" t="s">
        <v>175</v>
      </c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</row>
    <row r="133" spans="1:21" ht="39.75" customHeight="1">
      <c r="A133" s="30"/>
      <c r="B133" s="30"/>
      <c r="C133" s="5" t="s">
        <v>176</v>
      </c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</row>
    <row r="134" spans="1:21" ht="39.75" customHeight="1">
      <c r="A134" s="30"/>
      <c r="B134" s="30"/>
      <c r="C134" s="5" t="s">
        <v>177</v>
      </c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</row>
    <row r="135" spans="1:21" ht="39.75" customHeight="1">
      <c r="A135" s="30"/>
      <c r="B135" s="30"/>
      <c r="C135" s="5" t="s">
        <v>178</v>
      </c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</row>
    <row r="136" spans="1:21" ht="39.75" customHeight="1">
      <c r="A136" s="30"/>
      <c r="B136" s="30"/>
      <c r="C136" s="5" t="s">
        <v>176</v>
      </c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</row>
    <row r="137" spans="1:21" ht="39.75" customHeight="1">
      <c r="A137" s="30"/>
      <c r="B137" s="30"/>
      <c r="C137" s="5" t="s">
        <v>177</v>
      </c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</row>
    <row r="138" spans="1:21" ht="39.75" customHeight="1">
      <c r="A138" s="30"/>
      <c r="B138" s="30"/>
      <c r="C138" s="5" t="s">
        <v>179</v>
      </c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</row>
    <row r="139" spans="1:21" ht="39.75" customHeight="1">
      <c r="A139" s="30"/>
      <c r="B139" s="30"/>
      <c r="C139" s="5" t="s">
        <v>176</v>
      </c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</row>
    <row r="140" spans="1:21" ht="39.75" customHeight="1">
      <c r="A140" s="30"/>
      <c r="B140" s="30"/>
      <c r="C140" s="5" t="s">
        <v>177</v>
      </c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</row>
    <row r="141" spans="1:21" ht="39.75" customHeight="1">
      <c r="A141" s="30"/>
      <c r="B141" s="30"/>
      <c r="C141" s="5" t="s">
        <v>180</v>
      </c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</row>
    <row r="142" spans="1:21" ht="39.75" customHeight="1">
      <c r="A142" s="30"/>
      <c r="B142" s="30"/>
      <c r="C142" s="5" t="s">
        <v>176</v>
      </c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</row>
    <row r="143" spans="1:21" ht="39.75" customHeight="1">
      <c r="A143" s="30"/>
      <c r="B143" s="30"/>
      <c r="C143" s="5" t="s">
        <v>177</v>
      </c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</row>
    <row r="144" spans="1:21" ht="39.75" customHeight="1">
      <c r="A144" s="30"/>
      <c r="B144" s="30"/>
      <c r="C144" s="5" t="s">
        <v>181</v>
      </c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</row>
    <row r="145" spans="1:21" ht="39.75" customHeight="1">
      <c r="A145" s="30"/>
      <c r="B145" s="30"/>
      <c r="C145" s="5" t="s">
        <v>182</v>
      </c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</row>
    <row r="146" spans="1:21" ht="39.75" customHeight="1">
      <c r="A146" s="30"/>
      <c r="B146" s="30"/>
      <c r="C146" s="5" t="s">
        <v>183</v>
      </c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</row>
    <row r="147" spans="1:21" ht="39.75" customHeight="1">
      <c r="A147" s="30"/>
      <c r="B147" s="30"/>
      <c r="C147" s="5" t="s">
        <v>176</v>
      </c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</row>
    <row r="148" spans="1:21" ht="39.75" customHeight="1">
      <c r="A148" s="30"/>
      <c r="B148" s="30"/>
      <c r="C148" s="5" t="s">
        <v>184</v>
      </c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</row>
    <row r="149" spans="1:21" ht="39.75" customHeight="1">
      <c r="A149" s="30"/>
      <c r="B149" s="30"/>
      <c r="C149" s="5" t="s">
        <v>185</v>
      </c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</row>
    <row r="150" spans="1:21" ht="39.75" customHeight="1">
      <c r="A150" s="30"/>
      <c r="B150" s="31"/>
      <c r="C150" s="5" t="s">
        <v>186</v>
      </c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</row>
    <row r="151" spans="1:21" ht="39.75" customHeight="1">
      <c r="A151" s="30"/>
      <c r="B151" s="32" t="s">
        <v>187</v>
      </c>
      <c r="C151" s="5" t="s">
        <v>188</v>
      </c>
      <c r="D151" s="5"/>
      <c r="E151" s="5"/>
      <c r="F151" s="5"/>
      <c r="G151" s="5"/>
      <c r="H151" s="5"/>
      <c r="I151" s="5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</row>
    <row r="152" spans="1:21" ht="39.75" customHeight="1">
      <c r="A152" s="30"/>
      <c r="B152" s="30"/>
      <c r="C152" s="5" t="s">
        <v>189</v>
      </c>
      <c r="D152" s="5"/>
      <c r="E152" s="5"/>
      <c r="F152" s="5"/>
      <c r="G152" s="5"/>
      <c r="H152" s="5"/>
      <c r="I152" s="5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</row>
    <row r="153" spans="1:21" ht="39.75" customHeight="1">
      <c r="A153" s="30"/>
      <c r="B153" s="30"/>
      <c r="C153" s="5" t="s">
        <v>190</v>
      </c>
      <c r="D153" s="5"/>
      <c r="E153" s="5"/>
      <c r="F153" s="5"/>
      <c r="G153" s="5"/>
      <c r="H153" s="5"/>
      <c r="I153" s="5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</row>
    <row r="154" spans="1:21" ht="39.75" customHeight="1">
      <c r="A154" s="30"/>
      <c r="B154" s="30"/>
      <c r="C154" s="5" t="s">
        <v>191</v>
      </c>
      <c r="D154" s="5"/>
      <c r="E154" s="5"/>
      <c r="F154" s="5"/>
      <c r="G154" s="5"/>
      <c r="H154" s="5"/>
      <c r="I154" s="5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</row>
    <row r="155" spans="1:21" ht="39.75" customHeight="1">
      <c r="A155" s="30"/>
      <c r="B155" s="30"/>
      <c r="C155" s="5" t="s">
        <v>192</v>
      </c>
      <c r="D155" s="5"/>
      <c r="E155" s="5"/>
      <c r="F155" s="5"/>
      <c r="G155" s="5"/>
      <c r="H155" s="5"/>
      <c r="I155" s="5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</row>
    <row r="156" spans="1:21" ht="39.75" customHeight="1">
      <c r="A156" s="30"/>
      <c r="B156" s="30"/>
      <c r="C156" s="5" t="s">
        <v>193</v>
      </c>
      <c r="D156" s="5"/>
      <c r="E156" s="5"/>
      <c r="F156" s="5"/>
      <c r="G156" s="5"/>
      <c r="H156" s="5"/>
      <c r="I156" s="5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</row>
    <row r="157" spans="1:21" ht="39.75" customHeight="1">
      <c r="A157" s="30"/>
      <c r="B157" s="30"/>
      <c r="C157" s="5" t="s">
        <v>194</v>
      </c>
      <c r="D157" s="5"/>
      <c r="E157" s="5"/>
      <c r="F157" s="5"/>
      <c r="G157" s="5"/>
      <c r="H157" s="5"/>
      <c r="I157" s="5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</row>
    <row r="158" spans="1:21" ht="39.75" customHeight="1">
      <c r="A158" s="30"/>
      <c r="B158" s="30"/>
      <c r="C158" s="5" t="s">
        <v>195</v>
      </c>
      <c r="D158" s="5"/>
      <c r="E158" s="5"/>
      <c r="F158" s="5"/>
      <c r="G158" s="5"/>
      <c r="H158" s="5"/>
      <c r="I158" s="5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</row>
    <row r="159" spans="1:21" ht="39.75" customHeight="1">
      <c r="A159" s="30"/>
      <c r="B159" s="30"/>
      <c r="C159" s="5" t="s">
        <v>196</v>
      </c>
      <c r="D159" s="5"/>
      <c r="E159" s="5"/>
      <c r="F159" s="5"/>
      <c r="G159" s="5"/>
      <c r="H159" s="5"/>
      <c r="I159" s="5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</row>
    <row r="160" spans="1:21" ht="39.75" customHeight="1">
      <c r="A160" s="30"/>
      <c r="B160" s="30"/>
      <c r="C160" s="5" t="s">
        <v>197</v>
      </c>
      <c r="D160" s="5"/>
      <c r="E160" s="5"/>
      <c r="F160" s="5"/>
      <c r="G160" s="5"/>
      <c r="H160" s="5"/>
      <c r="I160" s="5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</row>
    <row r="161" spans="1:21" ht="39.75" customHeight="1">
      <c r="A161" s="30"/>
      <c r="B161" s="30"/>
      <c r="C161" s="5" t="s">
        <v>198</v>
      </c>
      <c r="D161" s="5"/>
      <c r="E161" s="5"/>
      <c r="F161" s="5"/>
      <c r="G161" s="5"/>
      <c r="H161" s="5"/>
      <c r="I161" s="5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</row>
    <row r="162" spans="1:21" ht="39.75" customHeight="1">
      <c r="A162" s="30"/>
      <c r="B162" s="30"/>
      <c r="C162" s="5" t="s">
        <v>199</v>
      </c>
      <c r="D162" s="5"/>
      <c r="E162" s="5"/>
      <c r="F162" s="5"/>
      <c r="G162" s="5"/>
      <c r="H162" s="5"/>
      <c r="I162" s="5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</row>
    <row r="163" spans="1:21" ht="39.75" customHeight="1">
      <c r="A163" s="30"/>
      <c r="B163" s="30"/>
      <c r="C163" s="5" t="s">
        <v>200</v>
      </c>
      <c r="D163" s="5"/>
      <c r="E163" s="5"/>
      <c r="F163" s="5"/>
      <c r="G163" s="5"/>
      <c r="H163" s="5"/>
      <c r="I163" s="5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</row>
    <row r="164" spans="1:21" ht="39.75" customHeight="1">
      <c r="A164" s="30"/>
      <c r="B164" s="30"/>
      <c r="C164" s="5" t="s">
        <v>201</v>
      </c>
      <c r="D164" s="5"/>
      <c r="E164" s="5"/>
      <c r="F164" s="5"/>
      <c r="G164" s="5"/>
      <c r="H164" s="5"/>
      <c r="I164" s="5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</row>
    <row r="165" spans="1:21" ht="39.75" customHeight="1">
      <c r="A165" s="30"/>
      <c r="B165" s="30"/>
      <c r="C165" s="5" t="s">
        <v>202</v>
      </c>
      <c r="D165" s="5"/>
      <c r="E165" s="5"/>
      <c r="F165" s="5"/>
      <c r="G165" s="5"/>
      <c r="H165" s="5"/>
      <c r="I165" s="5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</row>
    <row r="166" spans="1:21" ht="39.75" customHeight="1">
      <c r="A166" s="30"/>
      <c r="B166" s="30"/>
      <c r="C166" s="5" t="s">
        <v>203</v>
      </c>
      <c r="D166" s="5"/>
      <c r="E166" s="5"/>
      <c r="F166" s="5"/>
      <c r="G166" s="5"/>
      <c r="H166" s="5"/>
      <c r="I166" s="5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</row>
    <row r="167" spans="1:21" ht="39.75" customHeight="1">
      <c r="A167" s="30"/>
      <c r="B167" s="30"/>
      <c r="C167" s="5" t="s">
        <v>204</v>
      </c>
      <c r="D167" s="5"/>
      <c r="E167" s="5"/>
      <c r="F167" s="5"/>
      <c r="G167" s="5"/>
      <c r="H167" s="5"/>
      <c r="I167" s="5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</row>
    <row r="168" spans="1:21" ht="39.75" customHeight="1">
      <c r="A168" s="30"/>
      <c r="B168" s="30"/>
      <c r="C168" s="5" t="s">
        <v>205</v>
      </c>
      <c r="D168" s="5"/>
      <c r="E168" s="5"/>
      <c r="F168" s="5"/>
      <c r="G168" s="5"/>
      <c r="H168" s="5"/>
      <c r="I168" s="5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</row>
    <row r="169" spans="1:21" ht="39.75" customHeight="1">
      <c r="A169" s="30"/>
      <c r="B169" s="30"/>
      <c r="C169" s="5" t="s">
        <v>206</v>
      </c>
      <c r="D169" s="5"/>
      <c r="E169" s="5"/>
      <c r="F169" s="5"/>
      <c r="G169" s="5"/>
      <c r="H169" s="5"/>
      <c r="I169" s="5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</row>
    <row r="170" spans="1:21" ht="39.75" customHeight="1">
      <c r="A170" s="30"/>
      <c r="B170" s="30"/>
      <c r="C170" s="5" t="s">
        <v>207</v>
      </c>
      <c r="D170" s="5"/>
      <c r="E170" s="5"/>
      <c r="F170" s="5"/>
      <c r="G170" s="5"/>
      <c r="H170" s="5"/>
      <c r="I170" s="5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</row>
    <row r="171" spans="1:21" ht="39.75" customHeight="1">
      <c r="A171" s="30"/>
      <c r="B171" s="30"/>
      <c r="C171" s="5" t="s">
        <v>208</v>
      </c>
      <c r="D171" s="5"/>
      <c r="E171" s="5"/>
      <c r="F171" s="5"/>
      <c r="G171" s="5"/>
      <c r="H171" s="5"/>
      <c r="I171" s="5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</row>
    <row r="172" spans="1:21" ht="39.75" customHeight="1">
      <c r="A172" s="30"/>
      <c r="B172" s="30"/>
      <c r="C172" s="5" t="s">
        <v>209</v>
      </c>
      <c r="D172" s="5"/>
      <c r="E172" s="5"/>
      <c r="F172" s="5"/>
      <c r="G172" s="5"/>
      <c r="H172" s="5"/>
      <c r="I172" s="5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</row>
    <row r="173" spans="1:21" ht="39.75" customHeight="1">
      <c r="A173" s="30"/>
      <c r="B173" s="30"/>
      <c r="C173" s="5" t="s">
        <v>210</v>
      </c>
      <c r="D173" s="5"/>
      <c r="E173" s="5"/>
      <c r="F173" s="5"/>
      <c r="G173" s="5"/>
      <c r="H173" s="5"/>
      <c r="I173" s="5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</row>
    <row r="174" spans="1:21" ht="39.75" customHeight="1">
      <c r="A174" s="30"/>
      <c r="B174" s="30"/>
      <c r="C174" s="5" t="s">
        <v>211</v>
      </c>
      <c r="D174" s="5"/>
      <c r="E174" s="5"/>
      <c r="F174" s="5"/>
      <c r="G174" s="5"/>
      <c r="H174" s="5"/>
      <c r="I174" s="5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</row>
    <row r="175" spans="1:21" ht="39.75" customHeight="1">
      <c r="A175" s="30"/>
      <c r="B175" s="30"/>
      <c r="C175" s="5" t="s">
        <v>212</v>
      </c>
      <c r="D175" s="5"/>
      <c r="E175" s="5"/>
      <c r="F175" s="5"/>
      <c r="G175" s="5"/>
      <c r="H175" s="5"/>
      <c r="I175" s="5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</row>
    <row r="176" spans="1:21" ht="39.75" customHeight="1">
      <c r="A176" s="30"/>
      <c r="B176" s="30"/>
      <c r="C176" s="5" t="s">
        <v>213</v>
      </c>
      <c r="D176" s="5"/>
      <c r="E176" s="5"/>
      <c r="F176" s="5"/>
      <c r="G176" s="5"/>
      <c r="H176" s="5"/>
      <c r="I176" s="5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</row>
    <row r="177" spans="1:21" ht="39.75" customHeight="1">
      <c r="A177" s="30"/>
      <c r="B177" s="30"/>
      <c r="C177" s="5" t="s">
        <v>214</v>
      </c>
      <c r="D177" s="5"/>
      <c r="E177" s="5"/>
      <c r="F177" s="5"/>
      <c r="G177" s="5"/>
      <c r="H177" s="5"/>
      <c r="I177" s="5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</row>
    <row r="178" spans="1:21" ht="39.75" customHeight="1">
      <c r="A178" s="30"/>
      <c r="B178" s="30"/>
      <c r="C178" s="5" t="s">
        <v>215</v>
      </c>
      <c r="D178" s="5"/>
      <c r="E178" s="5"/>
      <c r="F178" s="5"/>
      <c r="G178" s="5"/>
      <c r="H178" s="5"/>
      <c r="I178" s="5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</row>
    <row r="179" spans="1:21" ht="39.75" customHeight="1">
      <c r="A179" s="30"/>
      <c r="B179" s="30"/>
      <c r="C179" s="5" t="s">
        <v>216</v>
      </c>
      <c r="D179" s="5"/>
      <c r="E179" s="5"/>
      <c r="F179" s="5"/>
      <c r="G179" s="5"/>
      <c r="H179" s="5"/>
      <c r="I179" s="5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</row>
    <row r="180" spans="1:21" ht="39.75" customHeight="1">
      <c r="A180" s="30"/>
      <c r="B180" s="30"/>
      <c r="C180" s="5" t="s">
        <v>217</v>
      </c>
      <c r="D180" s="5"/>
      <c r="E180" s="5"/>
      <c r="F180" s="5"/>
      <c r="G180" s="5"/>
      <c r="H180" s="5"/>
      <c r="I180" s="5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</row>
    <row r="181" spans="1:21" ht="39.75" customHeight="1">
      <c r="A181" s="30"/>
      <c r="B181" s="30"/>
      <c r="C181" s="5" t="s">
        <v>218</v>
      </c>
      <c r="D181" s="5"/>
      <c r="E181" s="5"/>
      <c r="F181" s="5"/>
      <c r="G181" s="5"/>
      <c r="H181" s="5"/>
      <c r="I181" s="5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</row>
    <row r="182" spans="1:21" ht="39.75" customHeight="1">
      <c r="A182" s="30"/>
      <c r="B182" s="30"/>
      <c r="C182" s="5" t="s">
        <v>219</v>
      </c>
      <c r="D182" s="5"/>
      <c r="E182" s="5"/>
      <c r="F182" s="5"/>
      <c r="G182" s="5"/>
      <c r="H182" s="5"/>
      <c r="I182" s="5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</row>
    <row r="183" spans="1:21" ht="39.75" customHeight="1">
      <c r="A183" s="30"/>
      <c r="B183" s="30"/>
      <c r="C183" s="5" t="s">
        <v>220</v>
      </c>
      <c r="D183" s="5"/>
      <c r="E183" s="5"/>
      <c r="F183" s="5"/>
      <c r="G183" s="5"/>
      <c r="H183" s="5"/>
      <c r="I183" s="5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</row>
    <row r="184" spans="1:21" ht="39.75" customHeight="1">
      <c r="A184" s="30"/>
      <c r="B184" s="30"/>
      <c r="C184" s="5" t="s">
        <v>221</v>
      </c>
      <c r="D184" s="5"/>
      <c r="E184" s="5"/>
      <c r="F184" s="5"/>
      <c r="G184" s="5"/>
      <c r="H184" s="5"/>
      <c r="I184" s="5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</row>
    <row r="185" spans="1:21" ht="39.75" customHeight="1">
      <c r="A185" s="30"/>
      <c r="B185" s="30"/>
      <c r="C185" s="5" t="s">
        <v>222</v>
      </c>
      <c r="D185" s="5"/>
      <c r="E185" s="5"/>
      <c r="F185" s="5"/>
      <c r="G185" s="5"/>
      <c r="H185" s="5"/>
      <c r="I185" s="5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</row>
    <row r="186" spans="1:21" ht="39.75" customHeight="1">
      <c r="A186" s="30"/>
      <c r="B186" s="30"/>
      <c r="C186" s="5" t="s">
        <v>223</v>
      </c>
      <c r="D186" s="5"/>
      <c r="E186" s="5"/>
      <c r="F186" s="5"/>
      <c r="G186" s="5"/>
      <c r="H186" s="5"/>
      <c r="I186" s="5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</row>
    <row r="187" spans="1:21" ht="39.75" customHeight="1">
      <c r="A187" s="30"/>
      <c r="B187" s="30"/>
      <c r="C187" s="5" t="s">
        <v>224</v>
      </c>
      <c r="D187" s="5"/>
      <c r="E187" s="5"/>
      <c r="F187" s="5"/>
      <c r="G187" s="5"/>
      <c r="H187" s="5"/>
      <c r="I187" s="5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</row>
    <row r="188" spans="1:21" ht="39.75" customHeight="1">
      <c r="A188" s="31"/>
      <c r="B188" s="31"/>
      <c r="C188" s="5" t="s">
        <v>225</v>
      </c>
      <c r="D188" s="5"/>
      <c r="E188" s="5"/>
      <c r="F188" s="5"/>
      <c r="G188" s="5"/>
      <c r="H188" s="5"/>
      <c r="I188" s="5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</row>
    <row r="189" spans="1:21" ht="39.75" customHeight="1">
      <c r="A189" s="32" t="s">
        <v>226</v>
      </c>
      <c r="B189" s="32" t="s">
        <v>226</v>
      </c>
      <c r="C189" s="5" t="s">
        <v>227</v>
      </c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</row>
    <row r="190" spans="1:21" ht="39.75" customHeight="1">
      <c r="A190" s="30"/>
      <c r="B190" s="30"/>
      <c r="C190" s="5" t="s">
        <v>228</v>
      </c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</row>
    <row r="191" spans="1:21" ht="39.75" customHeight="1">
      <c r="A191" s="30"/>
      <c r="B191" s="30"/>
      <c r="C191" s="5" t="s">
        <v>229</v>
      </c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</row>
    <row r="192" spans="1:21" ht="39.75" customHeight="1">
      <c r="A192" s="30"/>
      <c r="B192" s="30"/>
      <c r="C192" s="5" t="s">
        <v>230</v>
      </c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</row>
    <row r="193" spans="1:21" ht="39.75" customHeight="1">
      <c r="A193" s="30"/>
      <c r="B193" s="30"/>
      <c r="C193" s="5" t="s">
        <v>231</v>
      </c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</row>
    <row r="194" spans="1:21" ht="39.75" customHeight="1">
      <c r="A194" s="30"/>
      <c r="B194" s="30"/>
      <c r="C194" s="5" t="s">
        <v>232</v>
      </c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</row>
    <row r="195" spans="1:21" ht="39.75" customHeight="1">
      <c r="A195" s="30"/>
      <c r="B195" s="30"/>
      <c r="C195" s="5" t="s">
        <v>233</v>
      </c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</row>
    <row r="196" spans="1:21" ht="39.75" customHeight="1">
      <c r="A196" s="30"/>
      <c r="B196" s="31"/>
      <c r="C196" s="5" t="s">
        <v>234</v>
      </c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</row>
    <row r="197" spans="1:21" ht="39.75" customHeight="1">
      <c r="A197" s="30"/>
      <c r="B197" s="12" t="s">
        <v>235</v>
      </c>
      <c r="C197" s="5" t="s">
        <v>236</v>
      </c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</row>
    <row r="198" spans="1:21" ht="39.75" customHeight="1">
      <c r="A198" s="30"/>
      <c r="B198" s="32" t="s">
        <v>237</v>
      </c>
      <c r="C198" s="5" t="s">
        <v>238</v>
      </c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</row>
    <row r="199" spans="1:21" ht="39.75" customHeight="1">
      <c r="A199" s="30"/>
      <c r="B199" s="30"/>
      <c r="C199" s="5" t="s">
        <v>38</v>
      </c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</row>
    <row r="200" spans="1:21" ht="39.75" customHeight="1">
      <c r="A200" s="30"/>
      <c r="B200" s="30"/>
      <c r="C200" s="5" t="s">
        <v>239</v>
      </c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</row>
    <row r="201" spans="1:21" ht="39.75" customHeight="1">
      <c r="A201" s="30"/>
      <c r="B201" s="30"/>
      <c r="C201" s="5" t="s">
        <v>38</v>
      </c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</row>
    <row r="202" spans="1:21" ht="39.75" customHeight="1">
      <c r="A202" s="30"/>
      <c r="B202" s="30"/>
      <c r="C202" s="5" t="s">
        <v>240</v>
      </c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</row>
    <row r="203" spans="1:21" ht="39.75" customHeight="1">
      <c r="A203" s="30"/>
      <c r="B203" s="30"/>
      <c r="C203" s="5" t="s">
        <v>38</v>
      </c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</row>
    <row r="204" spans="1:21" ht="39.75" customHeight="1">
      <c r="A204" s="30"/>
      <c r="B204" s="30"/>
      <c r="C204" s="5" t="s">
        <v>241</v>
      </c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</row>
    <row r="205" spans="1:21" ht="39.75" customHeight="1">
      <c r="A205" s="31"/>
      <c r="B205" s="31"/>
      <c r="C205" s="5" t="s">
        <v>242</v>
      </c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</row>
    <row r="206" spans="1:21" ht="39.75" customHeight="1">
      <c r="A206" s="32" t="s">
        <v>243</v>
      </c>
      <c r="B206" s="32" t="s">
        <v>244</v>
      </c>
      <c r="C206" s="5" t="s">
        <v>245</v>
      </c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</row>
    <row r="207" spans="1:21" ht="39.75" customHeight="1">
      <c r="A207" s="30"/>
      <c r="B207" s="31"/>
      <c r="C207" s="5" t="s">
        <v>246</v>
      </c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</row>
    <row r="208" spans="1:21" ht="39.75" customHeight="1">
      <c r="A208" s="30"/>
      <c r="B208" s="33" t="s">
        <v>247</v>
      </c>
      <c r="C208" s="5" t="s">
        <v>248</v>
      </c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</row>
    <row r="209" spans="1:21" ht="39.75" customHeight="1">
      <c r="A209" s="30"/>
      <c r="B209" s="30"/>
      <c r="C209" s="5" t="s">
        <v>249</v>
      </c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</row>
    <row r="210" spans="1:21" ht="39.75" customHeight="1">
      <c r="A210" s="30"/>
      <c r="B210" s="31"/>
      <c r="C210" s="5" t="s">
        <v>38</v>
      </c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</row>
    <row r="211" spans="1:21" ht="39.75" customHeight="1">
      <c r="A211" s="30"/>
      <c r="B211" s="33" t="s">
        <v>250</v>
      </c>
      <c r="C211" s="9" t="s">
        <v>251</v>
      </c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</row>
    <row r="212" spans="1:21" ht="39.75" customHeight="1">
      <c r="A212" s="30"/>
      <c r="B212" s="30"/>
      <c r="C212" s="9" t="s">
        <v>252</v>
      </c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</row>
    <row r="213" spans="1:21" ht="39.75" customHeight="1">
      <c r="A213" s="30"/>
      <c r="B213" s="30"/>
      <c r="C213" s="9" t="s">
        <v>253</v>
      </c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</row>
    <row r="214" spans="1:21" ht="39.75" customHeight="1">
      <c r="A214" s="30"/>
      <c r="B214" s="30"/>
      <c r="C214" s="9" t="s">
        <v>254</v>
      </c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</row>
    <row r="215" spans="1:21" ht="39.75" customHeight="1">
      <c r="A215" s="30"/>
      <c r="B215" s="30"/>
      <c r="C215" s="13" t="s">
        <v>255</v>
      </c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</row>
    <row r="216" spans="1:21" ht="39.75" customHeight="1">
      <c r="A216" s="30"/>
      <c r="B216" s="30"/>
      <c r="C216" s="9" t="s">
        <v>256</v>
      </c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</row>
    <row r="217" spans="1:21" ht="39.75" customHeight="1">
      <c r="A217" s="30"/>
      <c r="B217" s="30"/>
      <c r="C217" s="9" t="s">
        <v>257</v>
      </c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</row>
    <row r="218" spans="1:21" ht="39.75" customHeight="1">
      <c r="A218" s="30"/>
      <c r="B218" s="31"/>
      <c r="C218" s="9" t="s">
        <v>258</v>
      </c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</row>
    <row r="219" spans="1:21" ht="39.75" customHeight="1">
      <c r="A219" s="30"/>
      <c r="B219" s="33" t="s">
        <v>259</v>
      </c>
      <c r="C219" s="9" t="s">
        <v>37</v>
      </c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</row>
    <row r="220" spans="1:21" ht="39.75" customHeight="1">
      <c r="A220" s="30"/>
      <c r="B220" s="31"/>
      <c r="C220" s="9" t="s">
        <v>38</v>
      </c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</row>
    <row r="221" spans="1:21" ht="39.75" customHeight="1">
      <c r="A221" s="30"/>
      <c r="B221" s="33" t="s">
        <v>260</v>
      </c>
      <c r="C221" s="9" t="s">
        <v>37</v>
      </c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</row>
    <row r="222" spans="1:21" ht="39.75" customHeight="1">
      <c r="A222" s="30"/>
      <c r="B222" s="31"/>
      <c r="C222" s="9" t="s">
        <v>261</v>
      </c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</row>
    <row r="223" spans="1:21" ht="39.75" customHeight="1">
      <c r="A223" s="30"/>
      <c r="B223" s="33" t="s">
        <v>262</v>
      </c>
      <c r="C223" s="9" t="s">
        <v>38</v>
      </c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</row>
    <row r="224" spans="1:21" ht="39.75" customHeight="1">
      <c r="A224" s="30"/>
      <c r="B224" s="31"/>
      <c r="C224" s="9" t="s">
        <v>37</v>
      </c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</row>
    <row r="225" spans="1:21" ht="39.75" customHeight="1">
      <c r="A225" s="30"/>
      <c r="B225" s="33" t="s">
        <v>263</v>
      </c>
      <c r="C225" s="9" t="s">
        <v>37</v>
      </c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</row>
    <row r="226" spans="1:21" ht="39.75" customHeight="1">
      <c r="A226" s="30"/>
      <c r="B226" s="31"/>
      <c r="C226" s="9" t="s">
        <v>38</v>
      </c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</row>
    <row r="227" spans="1:21" ht="39.75" customHeight="1">
      <c r="A227" s="30"/>
      <c r="B227" s="33" t="s">
        <v>264</v>
      </c>
      <c r="C227" s="9" t="s">
        <v>248</v>
      </c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</row>
    <row r="228" spans="1:21" ht="39.75" customHeight="1">
      <c r="A228" s="30"/>
      <c r="B228" s="31"/>
      <c r="C228" s="9" t="s">
        <v>38</v>
      </c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</row>
    <row r="229" spans="1:21" ht="39.75" customHeight="1">
      <c r="A229" s="30"/>
      <c r="B229" s="33" t="s">
        <v>265</v>
      </c>
      <c r="C229" s="9" t="s">
        <v>266</v>
      </c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</row>
    <row r="230" spans="1:21" ht="39.75" customHeight="1">
      <c r="A230" s="30"/>
      <c r="B230" s="31"/>
      <c r="C230" s="9" t="s">
        <v>267</v>
      </c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</row>
    <row r="231" spans="1:21" ht="39.75" customHeight="1">
      <c r="A231" s="30"/>
      <c r="B231" s="33" t="s">
        <v>268</v>
      </c>
      <c r="C231" s="9" t="s">
        <v>269</v>
      </c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</row>
    <row r="232" spans="1:21" ht="39.75" customHeight="1">
      <c r="A232" s="30"/>
      <c r="B232" s="31"/>
      <c r="C232" s="9" t="s">
        <v>38</v>
      </c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</row>
    <row r="233" spans="1:21" ht="39.75" customHeight="1">
      <c r="A233" s="30"/>
      <c r="B233" s="33" t="s">
        <v>270</v>
      </c>
      <c r="C233" s="9" t="s">
        <v>269</v>
      </c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</row>
    <row r="234" spans="1:21" ht="39.75" customHeight="1">
      <c r="A234" s="31"/>
      <c r="B234" s="31"/>
      <c r="C234" s="9" t="s">
        <v>38</v>
      </c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</row>
    <row r="235" spans="1:21" ht="39.75" customHeight="1">
      <c r="A235" s="32" t="s">
        <v>271</v>
      </c>
      <c r="B235" s="32" t="s">
        <v>272</v>
      </c>
      <c r="C235" s="5" t="s">
        <v>273</v>
      </c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</row>
    <row r="236" spans="1:21" ht="39.75" customHeight="1">
      <c r="A236" s="30"/>
      <c r="B236" s="30"/>
      <c r="C236" s="5" t="s">
        <v>274</v>
      </c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</row>
    <row r="237" spans="1:21" ht="39.75" customHeight="1">
      <c r="A237" s="30"/>
      <c r="B237" s="30"/>
      <c r="C237" s="5" t="s">
        <v>275</v>
      </c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</row>
    <row r="238" spans="1:21" ht="39.75" customHeight="1">
      <c r="A238" s="30"/>
      <c r="B238" s="30"/>
      <c r="C238" s="5" t="s">
        <v>276</v>
      </c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</row>
    <row r="239" spans="1:21" ht="39.75" customHeight="1">
      <c r="A239" s="30"/>
      <c r="B239" s="30"/>
      <c r="C239" s="5" t="s">
        <v>277</v>
      </c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</row>
    <row r="240" spans="1:21" ht="39.75" customHeight="1">
      <c r="A240" s="30"/>
      <c r="B240" s="30"/>
      <c r="C240" s="5" t="s">
        <v>278</v>
      </c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</row>
    <row r="241" spans="1:21" ht="39.75" customHeight="1">
      <c r="A241" s="30"/>
      <c r="B241" s="30"/>
      <c r="C241" s="5" t="s">
        <v>279</v>
      </c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</row>
    <row r="242" spans="1:21" ht="39.75" customHeight="1">
      <c r="A242" s="30"/>
      <c r="B242" s="30"/>
      <c r="C242" s="5" t="s">
        <v>280</v>
      </c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</row>
    <row r="243" spans="1:21" ht="39.75" customHeight="1">
      <c r="A243" s="30"/>
      <c r="B243" s="30"/>
      <c r="C243" s="5" t="s">
        <v>281</v>
      </c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</row>
    <row r="244" spans="1:21" ht="39.75" customHeight="1">
      <c r="A244" s="30"/>
      <c r="B244" s="30"/>
      <c r="C244" s="5" t="s">
        <v>282</v>
      </c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</row>
    <row r="245" spans="1:21" ht="39.75" customHeight="1">
      <c r="A245" s="30"/>
      <c r="B245" s="30"/>
      <c r="C245" s="5" t="s">
        <v>283</v>
      </c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</row>
    <row r="246" spans="1:21" ht="39.75" customHeight="1">
      <c r="A246" s="30"/>
      <c r="B246" s="30"/>
      <c r="C246" s="5" t="s">
        <v>284</v>
      </c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</row>
    <row r="247" spans="1:21" ht="39.75" customHeight="1">
      <c r="A247" s="30"/>
      <c r="B247" s="30"/>
      <c r="C247" s="5" t="s">
        <v>285</v>
      </c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</row>
    <row r="248" spans="1:21" ht="39.75" customHeight="1">
      <c r="A248" s="30"/>
      <c r="B248" s="30"/>
      <c r="C248" s="5" t="s">
        <v>286</v>
      </c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</row>
    <row r="249" spans="1:21" ht="39.75" customHeight="1">
      <c r="A249" s="30"/>
      <c r="B249" s="30"/>
      <c r="C249" s="5" t="s">
        <v>287</v>
      </c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</row>
    <row r="250" spans="1:21" ht="39.75" customHeight="1">
      <c r="A250" s="30"/>
      <c r="B250" s="30"/>
      <c r="C250" s="5" t="s">
        <v>288</v>
      </c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</row>
    <row r="251" spans="1:21" ht="39.75" customHeight="1">
      <c r="A251" s="30"/>
      <c r="B251" s="30"/>
      <c r="C251" s="5" t="s">
        <v>289</v>
      </c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</row>
    <row r="252" spans="1:21" ht="39.75" customHeight="1">
      <c r="A252" s="30"/>
      <c r="B252" s="30"/>
      <c r="C252" s="5" t="s">
        <v>290</v>
      </c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</row>
    <row r="253" spans="1:21" ht="39.75" customHeight="1">
      <c r="A253" s="30"/>
      <c r="B253" s="30"/>
      <c r="C253" s="5" t="s">
        <v>291</v>
      </c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</row>
    <row r="254" spans="1:21" ht="39.75" customHeight="1">
      <c r="A254" s="30"/>
      <c r="B254" s="30"/>
      <c r="C254" s="5" t="s">
        <v>292</v>
      </c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</row>
    <row r="255" spans="1:21" ht="39.75" customHeight="1">
      <c r="A255" s="30"/>
      <c r="B255" s="30"/>
      <c r="C255" s="5" t="s">
        <v>293</v>
      </c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</row>
    <row r="256" spans="1:21" ht="39.75" customHeight="1">
      <c r="A256" s="30"/>
      <c r="B256" s="30"/>
      <c r="C256" s="5" t="s">
        <v>294</v>
      </c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</row>
    <row r="257" spans="1:21" ht="39.75" customHeight="1">
      <c r="A257" s="30"/>
      <c r="B257" s="30"/>
      <c r="C257" s="5" t="s">
        <v>295</v>
      </c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</row>
    <row r="258" spans="1:21" ht="39.75" customHeight="1">
      <c r="A258" s="30"/>
      <c r="B258" s="31"/>
      <c r="C258" s="5" t="s">
        <v>296</v>
      </c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</row>
    <row r="259" spans="1:21" ht="39.75" customHeight="1">
      <c r="A259" s="30"/>
      <c r="B259" s="32" t="s">
        <v>297</v>
      </c>
      <c r="C259" s="5" t="s">
        <v>298</v>
      </c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</row>
    <row r="260" spans="1:21" ht="39.75" customHeight="1">
      <c r="A260" s="30"/>
      <c r="B260" s="30"/>
      <c r="C260" s="5" t="s">
        <v>299</v>
      </c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</row>
    <row r="261" spans="1:21" ht="39.75" customHeight="1">
      <c r="A261" s="30"/>
      <c r="B261" s="30"/>
      <c r="C261" s="5" t="s">
        <v>300</v>
      </c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</row>
    <row r="262" spans="1:21" ht="39.75" customHeight="1">
      <c r="A262" s="30"/>
      <c r="B262" s="30"/>
      <c r="C262" s="5" t="s">
        <v>301</v>
      </c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</row>
    <row r="263" spans="1:21" ht="39.75" customHeight="1">
      <c r="A263" s="30"/>
      <c r="B263" s="30"/>
      <c r="C263" s="5" t="s">
        <v>302</v>
      </c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</row>
    <row r="264" spans="1:21" ht="39.75" customHeight="1">
      <c r="A264" s="30"/>
      <c r="B264" s="31"/>
      <c r="C264" s="5" t="s">
        <v>303</v>
      </c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</row>
    <row r="265" spans="1:21" ht="39.75" customHeight="1">
      <c r="A265" s="30"/>
      <c r="B265" s="32" t="s">
        <v>304</v>
      </c>
      <c r="C265" s="5" t="s">
        <v>305</v>
      </c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</row>
    <row r="266" spans="1:21" ht="39.75" customHeight="1">
      <c r="A266" s="30"/>
      <c r="B266" s="30"/>
      <c r="C266" s="5" t="s">
        <v>306</v>
      </c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</row>
    <row r="267" spans="1:21" ht="39.75" customHeight="1">
      <c r="A267" s="30"/>
      <c r="B267" s="30"/>
      <c r="C267" s="5" t="s">
        <v>307</v>
      </c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</row>
    <row r="268" spans="1:21" ht="39.75" customHeight="1">
      <c r="A268" s="30"/>
      <c r="B268" s="30"/>
      <c r="C268" s="5" t="s">
        <v>308</v>
      </c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</row>
    <row r="269" spans="1:21" ht="39.75" customHeight="1">
      <c r="A269" s="30"/>
      <c r="B269" s="30"/>
      <c r="C269" s="5" t="s">
        <v>309</v>
      </c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</row>
    <row r="270" spans="1:21" ht="39.75" customHeight="1">
      <c r="A270" s="30"/>
      <c r="B270" s="30"/>
      <c r="C270" s="5" t="s">
        <v>310</v>
      </c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</row>
    <row r="271" spans="1:21" ht="39.75" customHeight="1">
      <c r="A271" s="30"/>
      <c r="B271" s="30"/>
      <c r="C271" s="5" t="s">
        <v>311</v>
      </c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</row>
    <row r="272" spans="1:21" ht="39.75" customHeight="1">
      <c r="A272" s="30"/>
      <c r="B272" s="30"/>
      <c r="C272" s="5" t="s">
        <v>312</v>
      </c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</row>
    <row r="273" spans="1:21" ht="39.75" customHeight="1">
      <c r="A273" s="30"/>
      <c r="B273" s="30"/>
      <c r="C273" s="5" t="s">
        <v>313</v>
      </c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</row>
    <row r="274" spans="1:21" ht="39.75" customHeight="1">
      <c r="A274" s="30"/>
      <c r="B274" s="30"/>
      <c r="C274" s="5" t="s">
        <v>314</v>
      </c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</row>
    <row r="275" spans="1:21" ht="39.75" customHeight="1">
      <c r="A275" s="30"/>
      <c r="B275" s="31"/>
      <c r="C275" s="5" t="s">
        <v>315</v>
      </c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</row>
    <row r="276" spans="1:21" ht="39.75" customHeight="1">
      <c r="A276" s="30"/>
      <c r="B276" s="32" t="s">
        <v>316</v>
      </c>
      <c r="C276" s="5" t="s">
        <v>317</v>
      </c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</row>
    <row r="277" spans="1:21" ht="39.75" customHeight="1">
      <c r="A277" s="30"/>
      <c r="B277" s="30"/>
      <c r="C277" s="5" t="s">
        <v>318</v>
      </c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</row>
    <row r="278" spans="1:21" ht="39.75" customHeight="1">
      <c r="A278" s="30"/>
      <c r="B278" s="30"/>
      <c r="C278" s="5" t="s">
        <v>319</v>
      </c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</row>
    <row r="279" spans="1:21" ht="39.75" customHeight="1">
      <c r="A279" s="30"/>
      <c r="B279" s="30"/>
      <c r="C279" s="5" t="s">
        <v>320</v>
      </c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</row>
    <row r="280" spans="1:21" ht="39.75" customHeight="1">
      <c r="A280" s="30"/>
      <c r="B280" s="30"/>
      <c r="C280" s="5" t="s">
        <v>321</v>
      </c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</row>
    <row r="281" spans="1:21" ht="39.75" customHeight="1">
      <c r="A281" s="30"/>
      <c r="B281" s="30"/>
      <c r="C281" s="5" t="s">
        <v>322</v>
      </c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</row>
    <row r="282" spans="1:21" ht="39.75" customHeight="1">
      <c r="A282" s="30"/>
      <c r="B282" s="30"/>
      <c r="C282" s="5" t="s">
        <v>323</v>
      </c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</row>
    <row r="283" spans="1:21" ht="39.75" customHeight="1">
      <c r="A283" s="30"/>
      <c r="B283" s="31"/>
      <c r="C283" s="5" t="s">
        <v>324</v>
      </c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</row>
    <row r="284" spans="1:21" ht="39.75" customHeight="1">
      <c r="A284" s="30"/>
      <c r="B284" s="32" t="s">
        <v>325</v>
      </c>
      <c r="C284" s="5" t="s">
        <v>326</v>
      </c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</row>
    <row r="285" spans="1:21" ht="39.75" customHeight="1">
      <c r="A285" s="30"/>
      <c r="B285" s="30"/>
      <c r="C285" s="5" t="s">
        <v>327</v>
      </c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</row>
    <row r="286" spans="1:21" ht="39.75" customHeight="1">
      <c r="A286" s="30"/>
      <c r="B286" s="31"/>
      <c r="C286" s="5" t="s">
        <v>328</v>
      </c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</row>
    <row r="287" spans="1:21" ht="39.75" customHeight="1">
      <c r="A287" s="30"/>
      <c r="B287" s="32" t="s">
        <v>329</v>
      </c>
      <c r="C287" s="14" t="s">
        <v>330</v>
      </c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</row>
    <row r="288" spans="1:21" ht="39.75" customHeight="1">
      <c r="A288" s="30"/>
      <c r="B288" s="30"/>
      <c r="C288" s="14" t="s">
        <v>331</v>
      </c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</row>
    <row r="289" spans="1:21" ht="39.75" customHeight="1">
      <c r="A289" s="30"/>
      <c r="B289" s="30"/>
      <c r="C289" s="14" t="s">
        <v>332</v>
      </c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</row>
    <row r="290" spans="1:21" ht="39.75" customHeight="1">
      <c r="A290" s="30"/>
      <c r="B290" s="30"/>
      <c r="C290" s="5" t="s">
        <v>333</v>
      </c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</row>
    <row r="291" spans="1:21" ht="39.75" customHeight="1">
      <c r="A291" s="30"/>
      <c r="B291" s="30"/>
      <c r="C291" s="5" t="s">
        <v>334</v>
      </c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</row>
    <row r="292" spans="1:21" ht="39.75" customHeight="1">
      <c r="A292" s="30"/>
      <c r="B292" s="30"/>
      <c r="C292" s="5" t="s">
        <v>335</v>
      </c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</row>
    <row r="293" spans="1:21" ht="39.75" customHeight="1">
      <c r="A293" s="30"/>
      <c r="B293" s="30"/>
      <c r="C293" s="5" t="s">
        <v>336</v>
      </c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</row>
    <row r="294" spans="1:21" ht="39.75" customHeight="1">
      <c r="A294" s="30"/>
      <c r="B294" s="30"/>
      <c r="C294" s="5" t="s">
        <v>337</v>
      </c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</row>
    <row r="295" spans="1:21" ht="39.75" customHeight="1">
      <c r="A295" s="30"/>
      <c r="B295" s="30"/>
      <c r="C295" s="5" t="s">
        <v>338</v>
      </c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</row>
    <row r="296" spans="1:21" ht="39.75" customHeight="1">
      <c r="A296" s="30"/>
      <c r="B296" s="30"/>
      <c r="C296" s="5" t="s">
        <v>339</v>
      </c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</row>
    <row r="297" spans="1:21" ht="39.75" customHeight="1">
      <c r="A297" s="30"/>
      <c r="B297" s="31"/>
      <c r="C297" s="5" t="s">
        <v>340</v>
      </c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</row>
    <row r="298" spans="1:21" ht="39.75" customHeight="1">
      <c r="A298" s="30"/>
      <c r="B298" s="32" t="s">
        <v>341</v>
      </c>
      <c r="C298" s="5" t="s">
        <v>342</v>
      </c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</row>
    <row r="299" spans="1:21" ht="39.75" customHeight="1">
      <c r="A299" s="30"/>
      <c r="B299" s="30"/>
      <c r="C299" s="5" t="s">
        <v>343</v>
      </c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</row>
    <row r="300" spans="1:21" ht="39.75" customHeight="1">
      <c r="A300" s="30"/>
      <c r="B300" s="30"/>
      <c r="C300" s="5" t="s">
        <v>344</v>
      </c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</row>
    <row r="301" spans="1:21" ht="39.75" customHeight="1">
      <c r="A301" s="30"/>
      <c r="B301" s="30"/>
      <c r="C301" s="5" t="s">
        <v>345</v>
      </c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</row>
    <row r="302" spans="1:21" ht="39.75" customHeight="1">
      <c r="A302" s="30"/>
      <c r="B302" s="30"/>
      <c r="C302" s="5" t="s">
        <v>346</v>
      </c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</row>
    <row r="303" spans="1:21" ht="39.75" customHeight="1">
      <c r="A303" s="30"/>
      <c r="B303" s="30"/>
      <c r="C303" s="5" t="s">
        <v>347</v>
      </c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</row>
    <row r="304" spans="1:21" ht="39.75" customHeight="1">
      <c r="A304" s="30"/>
      <c r="B304" s="30"/>
      <c r="C304" s="5" t="s">
        <v>348</v>
      </c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</row>
    <row r="305" spans="1:21" ht="39.75" customHeight="1">
      <c r="A305" s="30"/>
      <c r="B305" s="30"/>
      <c r="C305" s="5" t="s">
        <v>349</v>
      </c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</row>
    <row r="306" spans="1:21" ht="39.75" customHeight="1">
      <c r="A306" s="30"/>
      <c r="B306" s="30"/>
      <c r="C306" s="5" t="s">
        <v>350</v>
      </c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</row>
    <row r="307" spans="1:21" ht="39.75" customHeight="1">
      <c r="A307" s="30"/>
      <c r="B307" s="30"/>
      <c r="C307" s="5" t="s">
        <v>351</v>
      </c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</row>
    <row r="308" spans="1:21" ht="39.75" customHeight="1">
      <c r="A308" s="30"/>
      <c r="B308" s="30"/>
      <c r="C308" s="5" t="s">
        <v>352</v>
      </c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</row>
    <row r="309" spans="1:21" ht="39.75" customHeight="1">
      <c r="A309" s="30"/>
      <c r="B309" s="30"/>
      <c r="C309" s="5" t="s">
        <v>353</v>
      </c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</row>
    <row r="310" spans="1:21" ht="39.75" customHeight="1">
      <c r="A310" s="30"/>
      <c r="B310" s="30"/>
      <c r="C310" s="5" t="s">
        <v>354</v>
      </c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</row>
    <row r="311" spans="1:21" ht="39.75" customHeight="1">
      <c r="A311" s="30"/>
      <c r="B311" s="30"/>
      <c r="C311" s="5" t="s">
        <v>355</v>
      </c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</row>
    <row r="312" spans="1:21" ht="39.75" customHeight="1">
      <c r="A312" s="30"/>
      <c r="B312" s="30"/>
      <c r="C312" s="14" t="s">
        <v>356</v>
      </c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</row>
    <row r="313" spans="1:21" ht="39.75" customHeight="1">
      <c r="A313" s="30"/>
      <c r="B313" s="30"/>
      <c r="C313" s="14" t="s">
        <v>357</v>
      </c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</row>
    <row r="314" spans="1:21" ht="39.75" customHeight="1">
      <c r="A314" s="30"/>
      <c r="B314" s="30"/>
      <c r="C314" s="14" t="s">
        <v>358</v>
      </c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</row>
    <row r="315" spans="1:21" ht="39.75" customHeight="1">
      <c r="A315" s="30"/>
      <c r="B315" s="31"/>
      <c r="C315" s="14" t="s">
        <v>359</v>
      </c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</row>
    <row r="316" spans="1:21" ht="39.75" customHeight="1">
      <c r="A316" s="30"/>
      <c r="B316" s="32" t="s">
        <v>360</v>
      </c>
      <c r="C316" s="5" t="s">
        <v>361</v>
      </c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</row>
    <row r="317" spans="1:21" ht="39.75" customHeight="1">
      <c r="A317" s="30"/>
      <c r="B317" s="30"/>
      <c r="C317" s="5" t="s">
        <v>362</v>
      </c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</row>
    <row r="318" spans="1:21" ht="39.75" customHeight="1">
      <c r="A318" s="30"/>
      <c r="B318" s="30"/>
      <c r="C318" s="5" t="s">
        <v>363</v>
      </c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</row>
    <row r="319" spans="1:21" ht="39.75" customHeight="1">
      <c r="A319" s="30"/>
      <c r="B319" s="30"/>
      <c r="C319" s="5" t="s">
        <v>364</v>
      </c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</row>
    <row r="320" spans="1:21" ht="39.75" customHeight="1">
      <c r="A320" s="31"/>
      <c r="B320" s="31"/>
      <c r="C320" s="5" t="s">
        <v>365</v>
      </c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</row>
    <row r="321" spans="1:21" ht="39.75" customHeight="1">
      <c r="A321" s="32" t="s">
        <v>366</v>
      </c>
      <c r="B321" s="32" t="s">
        <v>367</v>
      </c>
      <c r="C321" s="5" t="s">
        <v>368</v>
      </c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</row>
    <row r="322" spans="1:21" ht="39.75" customHeight="1">
      <c r="A322" s="30"/>
      <c r="B322" s="30"/>
      <c r="C322" s="5" t="s">
        <v>369</v>
      </c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</row>
    <row r="323" spans="1:21" ht="39.75" customHeight="1">
      <c r="A323" s="30"/>
      <c r="B323" s="30"/>
      <c r="C323" s="5" t="s">
        <v>370</v>
      </c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</row>
    <row r="324" spans="1:21" ht="39.75" customHeight="1">
      <c r="A324" s="30"/>
      <c r="B324" s="30"/>
      <c r="C324" s="5" t="s">
        <v>371</v>
      </c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</row>
    <row r="325" spans="1:21" ht="39.75" customHeight="1">
      <c r="A325" s="30"/>
      <c r="B325" s="30"/>
      <c r="C325" s="5" t="s">
        <v>372</v>
      </c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</row>
    <row r="326" spans="1:21" ht="39.75" customHeight="1">
      <c r="A326" s="30"/>
      <c r="B326" s="30"/>
      <c r="C326" s="5" t="s">
        <v>373</v>
      </c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</row>
    <row r="327" spans="1:21" ht="39.75" customHeight="1">
      <c r="A327" s="30"/>
      <c r="B327" s="30"/>
      <c r="C327" s="5" t="s">
        <v>374</v>
      </c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</row>
    <row r="328" spans="1:21" ht="39.75" customHeight="1">
      <c r="A328" s="30"/>
      <c r="B328" s="30"/>
      <c r="C328" s="5" t="s">
        <v>375</v>
      </c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</row>
    <row r="329" spans="1:21" ht="39.75" customHeight="1">
      <c r="A329" s="30"/>
      <c r="B329" s="30"/>
      <c r="C329" s="5" t="s">
        <v>376</v>
      </c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</row>
    <row r="330" spans="1:21" ht="39.75" customHeight="1">
      <c r="A330" s="30"/>
      <c r="B330" s="30"/>
      <c r="C330" s="5" t="s">
        <v>377</v>
      </c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</row>
    <row r="331" spans="1:21" ht="39.75" customHeight="1">
      <c r="A331" s="30"/>
      <c r="B331" s="30"/>
      <c r="C331" s="5" t="s">
        <v>378</v>
      </c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</row>
    <row r="332" spans="1:21" ht="39.75" customHeight="1">
      <c r="A332" s="30"/>
      <c r="B332" s="30"/>
      <c r="C332" s="5" t="s">
        <v>379</v>
      </c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</row>
    <row r="333" spans="1:21" ht="39.75" customHeight="1">
      <c r="A333" s="30"/>
      <c r="B333" s="30"/>
      <c r="C333" s="5" t="s">
        <v>380</v>
      </c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</row>
    <row r="334" spans="1:21" ht="39.75" customHeight="1">
      <c r="A334" s="30"/>
      <c r="B334" s="30"/>
      <c r="C334" s="5" t="s">
        <v>381</v>
      </c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</row>
    <row r="335" spans="1:21" ht="39.75" customHeight="1">
      <c r="A335" s="30"/>
      <c r="B335" s="30"/>
      <c r="C335" s="5" t="s">
        <v>382</v>
      </c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</row>
    <row r="336" spans="1:21" ht="39.75" customHeight="1">
      <c r="A336" s="30"/>
      <c r="B336" s="30"/>
      <c r="C336" s="5" t="s">
        <v>383</v>
      </c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</row>
    <row r="337" spans="1:21" ht="39.75" customHeight="1">
      <c r="A337" s="30"/>
      <c r="B337" s="30"/>
      <c r="C337" s="5" t="s">
        <v>384</v>
      </c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</row>
    <row r="338" spans="1:21" ht="39.75" customHeight="1">
      <c r="A338" s="30"/>
      <c r="B338" s="30"/>
      <c r="C338" s="5" t="s">
        <v>385</v>
      </c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</row>
    <row r="339" spans="1:21" ht="39.75" customHeight="1">
      <c r="A339" s="30"/>
      <c r="B339" s="30"/>
      <c r="C339" s="5" t="s">
        <v>386</v>
      </c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</row>
    <row r="340" spans="1:21" ht="39.75" customHeight="1">
      <c r="A340" s="30"/>
      <c r="B340" s="30"/>
      <c r="C340" s="5" t="s">
        <v>387</v>
      </c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</row>
    <row r="341" spans="1:21" ht="39.75" customHeight="1">
      <c r="A341" s="30"/>
      <c r="B341" s="30"/>
      <c r="C341" s="5" t="s">
        <v>388</v>
      </c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</row>
    <row r="342" spans="1:21" ht="39.75" customHeight="1">
      <c r="A342" s="30"/>
      <c r="B342" s="30"/>
      <c r="C342" s="5" t="s">
        <v>389</v>
      </c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</row>
    <row r="343" spans="1:21" ht="39.75" customHeight="1">
      <c r="A343" s="30"/>
      <c r="B343" s="30"/>
      <c r="C343" s="5" t="s">
        <v>390</v>
      </c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</row>
    <row r="344" spans="1:21" ht="39.75" customHeight="1">
      <c r="A344" s="30"/>
      <c r="B344" s="30"/>
      <c r="C344" s="5" t="s">
        <v>391</v>
      </c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</row>
    <row r="345" spans="1:21" ht="39.75" customHeight="1">
      <c r="A345" s="30"/>
      <c r="B345" s="30"/>
      <c r="C345" s="5" t="s">
        <v>392</v>
      </c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</row>
    <row r="346" spans="1:21" ht="39.75" customHeight="1">
      <c r="A346" s="30"/>
      <c r="B346" s="30"/>
      <c r="C346" s="5" t="s">
        <v>393</v>
      </c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</row>
    <row r="347" spans="1:21" ht="39.75" customHeight="1">
      <c r="A347" s="30"/>
      <c r="B347" s="30"/>
      <c r="C347" s="5" t="s">
        <v>394</v>
      </c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</row>
    <row r="348" spans="1:21" ht="39.75" customHeight="1">
      <c r="A348" s="30"/>
      <c r="B348" s="30"/>
      <c r="C348" s="5" t="s">
        <v>395</v>
      </c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</row>
    <row r="349" spans="1:21" ht="39.75" customHeight="1">
      <c r="A349" s="30"/>
      <c r="B349" s="30"/>
      <c r="C349" s="5" t="s">
        <v>396</v>
      </c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</row>
    <row r="350" spans="1:21" ht="39.75" customHeight="1">
      <c r="A350" s="30"/>
      <c r="B350" s="30"/>
      <c r="C350" s="5" t="s">
        <v>397</v>
      </c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</row>
    <row r="351" spans="1:21" ht="39.75" customHeight="1">
      <c r="A351" s="30"/>
      <c r="B351" s="30"/>
      <c r="C351" s="5" t="s">
        <v>398</v>
      </c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</row>
    <row r="352" spans="1:21" ht="39.75" customHeight="1">
      <c r="A352" s="30"/>
      <c r="B352" s="30"/>
      <c r="C352" s="5" t="s">
        <v>399</v>
      </c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</row>
    <row r="353" spans="1:21" ht="39.75" customHeight="1">
      <c r="A353" s="30"/>
      <c r="B353" s="30"/>
      <c r="C353" s="5" t="s">
        <v>400</v>
      </c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</row>
    <row r="354" spans="1:21" ht="39.75" customHeight="1">
      <c r="A354" s="30"/>
      <c r="B354" s="31"/>
      <c r="C354" s="5" t="s">
        <v>401</v>
      </c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</row>
    <row r="355" spans="1:21" ht="39.75" customHeight="1">
      <c r="A355" s="30"/>
      <c r="B355" s="32" t="s">
        <v>402</v>
      </c>
      <c r="C355" s="5" t="s">
        <v>403</v>
      </c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</row>
    <row r="356" spans="1:21" ht="39.75" customHeight="1">
      <c r="A356" s="30"/>
      <c r="B356" s="30"/>
      <c r="C356" s="5" t="s">
        <v>404</v>
      </c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</row>
    <row r="357" spans="1:21" ht="39.75" customHeight="1">
      <c r="A357" s="30"/>
      <c r="B357" s="30"/>
      <c r="C357" s="5" t="s">
        <v>405</v>
      </c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</row>
    <row r="358" spans="1:21" ht="39.75" customHeight="1">
      <c r="A358" s="31"/>
      <c r="B358" s="31"/>
      <c r="C358" s="5" t="s">
        <v>406</v>
      </c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</row>
    <row r="359" spans="1:21" ht="39.75" customHeight="1">
      <c r="A359" s="32" t="s">
        <v>407</v>
      </c>
      <c r="B359" s="32" t="s">
        <v>408</v>
      </c>
      <c r="C359" s="5" t="s">
        <v>409</v>
      </c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</row>
    <row r="360" spans="1:21" ht="39.75" customHeight="1">
      <c r="A360" s="30"/>
      <c r="B360" s="30"/>
      <c r="C360" s="5" t="s">
        <v>410</v>
      </c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</row>
    <row r="361" spans="1:21" ht="39.75" customHeight="1">
      <c r="A361" s="30"/>
      <c r="B361" s="31"/>
      <c r="C361" s="5" t="s">
        <v>411</v>
      </c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</row>
    <row r="362" spans="1:21" ht="39.75" customHeight="1">
      <c r="A362" s="30"/>
      <c r="B362" s="32" t="s">
        <v>412</v>
      </c>
      <c r="C362" s="5" t="s">
        <v>413</v>
      </c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</row>
    <row r="363" spans="1:21" ht="39.75" customHeight="1">
      <c r="A363" s="30"/>
      <c r="B363" s="30"/>
      <c r="C363" s="5" t="s">
        <v>414</v>
      </c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</row>
    <row r="364" spans="1:21" ht="39.75" customHeight="1">
      <c r="A364" s="30"/>
      <c r="B364" s="31"/>
      <c r="C364" s="5" t="s">
        <v>415</v>
      </c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</row>
    <row r="365" spans="1:21" ht="39.75" customHeight="1">
      <c r="A365" s="30"/>
      <c r="B365" s="32" t="s">
        <v>416</v>
      </c>
      <c r="C365" s="5" t="s">
        <v>417</v>
      </c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</row>
    <row r="366" spans="1:21" ht="39.75" customHeight="1">
      <c r="A366" s="30"/>
      <c r="B366" s="30"/>
      <c r="C366" s="5" t="s">
        <v>418</v>
      </c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</row>
    <row r="367" spans="1:21" ht="39.75" customHeight="1">
      <c r="A367" s="30"/>
      <c r="B367" s="30"/>
      <c r="C367" s="5" t="s">
        <v>419</v>
      </c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</row>
    <row r="368" spans="1:21" ht="39.75" customHeight="1">
      <c r="A368" s="30"/>
      <c r="B368" s="31"/>
      <c r="C368" s="5" t="s">
        <v>420</v>
      </c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</row>
    <row r="369" spans="1:21" ht="39.75" customHeight="1">
      <c r="A369" s="30"/>
      <c r="B369" s="32" t="s">
        <v>421</v>
      </c>
      <c r="C369" s="5" t="s">
        <v>422</v>
      </c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</row>
    <row r="370" spans="1:21" ht="39.75" customHeight="1">
      <c r="A370" s="30"/>
      <c r="B370" s="30"/>
      <c r="C370" s="5" t="s">
        <v>423</v>
      </c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</row>
    <row r="371" spans="1:21" ht="39.75" customHeight="1">
      <c r="A371" s="30"/>
      <c r="B371" s="30"/>
      <c r="C371" s="5" t="s">
        <v>424</v>
      </c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</row>
    <row r="372" spans="1:21" ht="39.75" customHeight="1">
      <c r="A372" s="30"/>
      <c r="B372" s="30"/>
      <c r="C372" s="5" t="s">
        <v>425</v>
      </c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</row>
    <row r="373" spans="1:21" ht="39.75" customHeight="1">
      <c r="A373" s="30"/>
      <c r="B373" s="30"/>
      <c r="C373" s="5" t="s">
        <v>426</v>
      </c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</row>
    <row r="374" spans="1:21" ht="39.75" customHeight="1">
      <c r="A374" s="30"/>
      <c r="B374" s="30"/>
      <c r="C374" s="5" t="s">
        <v>427</v>
      </c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</row>
    <row r="375" spans="1:21" ht="39.75" customHeight="1">
      <c r="A375" s="30"/>
      <c r="B375" s="30"/>
      <c r="C375" s="5" t="s">
        <v>428</v>
      </c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</row>
    <row r="376" spans="1:21" ht="39.75" customHeight="1">
      <c r="A376" s="31"/>
      <c r="B376" s="31"/>
      <c r="C376" s="5" t="s">
        <v>429</v>
      </c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</row>
    <row r="377" spans="1:21" ht="39.75" customHeight="1">
      <c r="A377" s="40" t="s">
        <v>430</v>
      </c>
      <c r="B377" s="33" t="s">
        <v>431</v>
      </c>
      <c r="C377" s="9" t="s">
        <v>432</v>
      </c>
      <c r="D377" s="9"/>
      <c r="E377" s="9"/>
      <c r="F377" s="9"/>
      <c r="G377" s="9"/>
      <c r="H377" s="9"/>
      <c r="I377" s="9"/>
      <c r="J377" s="9"/>
      <c r="K377" s="9"/>
      <c r="L377" s="16"/>
      <c r="M377" s="16"/>
      <c r="N377" s="16"/>
      <c r="O377" s="16"/>
      <c r="P377" s="16"/>
      <c r="Q377" s="16"/>
      <c r="R377" s="16"/>
      <c r="S377" s="16"/>
      <c r="T377" s="16"/>
      <c r="U377" s="16"/>
    </row>
    <row r="378" spans="1:21" ht="39.75" customHeight="1">
      <c r="A378" s="30"/>
      <c r="B378" s="30"/>
      <c r="C378" s="9" t="s">
        <v>433</v>
      </c>
      <c r="D378" s="9"/>
      <c r="E378" s="9"/>
      <c r="F378" s="9"/>
      <c r="G378" s="9"/>
      <c r="H378" s="9"/>
      <c r="I378" s="9"/>
      <c r="J378" s="9"/>
      <c r="K378" s="9"/>
      <c r="L378" s="16"/>
      <c r="M378" s="16"/>
      <c r="N378" s="16"/>
      <c r="O378" s="16"/>
      <c r="P378" s="16"/>
      <c r="Q378" s="16"/>
      <c r="R378" s="16"/>
      <c r="S378" s="16"/>
      <c r="T378" s="16"/>
      <c r="U378" s="16"/>
    </row>
    <row r="379" spans="1:21" ht="39.75" customHeight="1">
      <c r="A379" s="30"/>
      <c r="B379" s="30"/>
      <c r="C379" s="9" t="s">
        <v>434</v>
      </c>
      <c r="D379" s="9"/>
      <c r="E379" s="9"/>
      <c r="F379" s="9"/>
      <c r="G379" s="9"/>
      <c r="H379" s="9"/>
      <c r="I379" s="9"/>
      <c r="J379" s="9"/>
      <c r="K379" s="9"/>
      <c r="L379" s="16"/>
      <c r="M379" s="16"/>
      <c r="N379" s="16"/>
      <c r="O379" s="16"/>
      <c r="P379" s="16"/>
      <c r="Q379" s="16"/>
      <c r="R379" s="16"/>
      <c r="S379" s="16"/>
      <c r="T379" s="16"/>
      <c r="U379" s="16"/>
    </row>
    <row r="380" spans="1:21" ht="39.75" customHeight="1">
      <c r="A380" s="30"/>
      <c r="B380" s="30"/>
      <c r="C380" s="9" t="s">
        <v>435</v>
      </c>
      <c r="D380" s="9"/>
      <c r="E380" s="9"/>
      <c r="F380" s="9"/>
      <c r="G380" s="9"/>
      <c r="H380" s="9"/>
      <c r="I380" s="9"/>
      <c r="J380" s="9"/>
      <c r="K380" s="9"/>
      <c r="L380" s="16"/>
      <c r="M380" s="16"/>
      <c r="N380" s="16"/>
      <c r="O380" s="16"/>
      <c r="P380" s="16"/>
      <c r="Q380" s="16"/>
      <c r="R380" s="16"/>
      <c r="S380" s="16"/>
      <c r="T380" s="16"/>
      <c r="U380" s="16"/>
    </row>
    <row r="381" spans="1:21" ht="39.75" customHeight="1">
      <c r="A381" s="30"/>
      <c r="B381" s="30"/>
      <c r="C381" s="9" t="s">
        <v>436</v>
      </c>
      <c r="D381" s="9"/>
      <c r="E381" s="9"/>
      <c r="F381" s="9"/>
      <c r="G381" s="9"/>
      <c r="H381" s="9"/>
      <c r="I381" s="9"/>
      <c r="J381" s="9"/>
      <c r="K381" s="9"/>
      <c r="L381" s="16"/>
      <c r="M381" s="16"/>
      <c r="N381" s="16"/>
      <c r="O381" s="16"/>
      <c r="P381" s="16"/>
      <c r="Q381" s="16"/>
      <c r="R381" s="16"/>
      <c r="S381" s="16"/>
      <c r="T381" s="16"/>
      <c r="U381" s="16"/>
    </row>
    <row r="382" spans="1:21" ht="39.75" customHeight="1">
      <c r="A382" s="30"/>
      <c r="B382" s="30"/>
      <c r="C382" s="9"/>
      <c r="D382" s="9"/>
      <c r="E382" s="9"/>
      <c r="F382" s="9"/>
      <c r="G382" s="9"/>
      <c r="H382" s="9"/>
      <c r="I382" s="9"/>
      <c r="J382" s="9"/>
      <c r="K382" s="9"/>
      <c r="L382" s="16"/>
      <c r="M382" s="16"/>
      <c r="N382" s="16"/>
      <c r="O382" s="16"/>
      <c r="P382" s="16"/>
      <c r="Q382" s="16"/>
      <c r="R382" s="16"/>
      <c r="S382" s="16"/>
      <c r="T382" s="16"/>
      <c r="U382" s="16"/>
    </row>
    <row r="383" spans="1:21" ht="39.75" customHeight="1">
      <c r="A383" s="30"/>
      <c r="B383" s="30"/>
      <c r="C383" s="9" t="s">
        <v>437</v>
      </c>
      <c r="D383" s="9"/>
      <c r="E383" s="9"/>
      <c r="F383" s="9"/>
      <c r="G383" s="9"/>
      <c r="H383" s="9"/>
      <c r="I383" s="9"/>
      <c r="J383" s="9"/>
      <c r="K383" s="9"/>
      <c r="L383" s="16"/>
      <c r="M383" s="16"/>
      <c r="N383" s="16"/>
      <c r="O383" s="16"/>
      <c r="P383" s="16"/>
      <c r="Q383" s="16"/>
      <c r="R383" s="16"/>
      <c r="S383" s="16"/>
      <c r="T383" s="16"/>
      <c r="U383" s="16"/>
    </row>
    <row r="384" spans="1:21" ht="39.75" customHeight="1">
      <c r="A384" s="30"/>
      <c r="B384" s="30"/>
      <c r="C384" s="9" t="s">
        <v>438</v>
      </c>
      <c r="D384" s="9"/>
      <c r="E384" s="9"/>
      <c r="F384" s="9"/>
      <c r="G384" s="9"/>
      <c r="H384" s="9"/>
      <c r="I384" s="9"/>
      <c r="J384" s="9"/>
      <c r="K384" s="9"/>
      <c r="L384" s="16"/>
      <c r="M384" s="16"/>
      <c r="N384" s="16"/>
      <c r="O384" s="16"/>
      <c r="P384" s="16"/>
      <c r="Q384" s="16"/>
      <c r="R384" s="16"/>
      <c r="S384" s="16"/>
      <c r="T384" s="16"/>
      <c r="U384" s="16"/>
    </row>
    <row r="385" spans="1:21" ht="39.75" customHeight="1">
      <c r="A385" s="30"/>
      <c r="B385" s="30"/>
      <c r="C385" s="9" t="s">
        <v>439</v>
      </c>
      <c r="D385" s="9"/>
      <c r="E385" s="9"/>
      <c r="F385" s="9"/>
      <c r="G385" s="9"/>
      <c r="H385" s="9"/>
      <c r="I385" s="9"/>
      <c r="J385" s="9"/>
      <c r="K385" s="9"/>
      <c r="L385" s="16"/>
      <c r="M385" s="16"/>
      <c r="N385" s="16"/>
      <c r="O385" s="16"/>
      <c r="P385" s="16"/>
      <c r="Q385" s="16"/>
      <c r="R385" s="16"/>
      <c r="S385" s="16"/>
      <c r="T385" s="16"/>
      <c r="U385" s="16"/>
    </row>
    <row r="386" spans="1:21" ht="39.75" customHeight="1">
      <c r="A386" s="30"/>
      <c r="B386" s="30"/>
      <c r="C386" s="9" t="s">
        <v>440</v>
      </c>
      <c r="D386" s="9"/>
      <c r="E386" s="9"/>
      <c r="F386" s="9"/>
      <c r="G386" s="9"/>
      <c r="H386" s="9"/>
      <c r="I386" s="9"/>
      <c r="J386" s="9"/>
      <c r="K386" s="9"/>
      <c r="L386" s="16"/>
      <c r="M386" s="16"/>
      <c r="N386" s="16"/>
      <c r="O386" s="16"/>
      <c r="P386" s="16"/>
      <c r="Q386" s="16"/>
      <c r="R386" s="16"/>
      <c r="S386" s="16"/>
      <c r="T386" s="16"/>
      <c r="U386" s="16"/>
    </row>
    <row r="387" spans="1:21" ht="39.75" customHeight="1">
      <c r="A387" s="30"/>
      <c r="B387" s="30"/>
      <c r="C387" s="9" t="s">
        <v>441</v>
      </c>
      <c r="D387" s="9"/>
      <c r="E387" s="9"/>
      <c r="F387" s="9"/>
      <c r="G387" s="9"/>
      <c r="H387" s="9"/>
      <c r="I387" s="9"/>
      <c r="J387" s="9"/>
      <c r="K387" s="9"/>
      <c r="L387" s="16"/>
      <c r="M387" s="16"/>
      <c r="N387" s="16"/>
      <c r="O387" s="16"/>
      <c r="P387" s="16"/>
      <c r="Q387" s="16"/>
      <c r="R387" s="16"/>
      <c r="S387" s="16"/>
      <c r="T387" s="16"/>
      <c r="U387" s="16"/>
    </row>
    <row r="388" spans="1:21" ht="39.75" customHeight="1">
      <c r="A388" s="30"/>
      <c r="B388" s="30"/>
      <c r="C388" s="9" t="s">
        <v>442</v>
      </c>
      <c r="D388" s="9"/>
      <c r="E388" s="9"/>
      <c r="F388" s="9"/>
      <c r="G388" s="9"/>
      <c r="H388" s="9"/>
      <c r="I388" s="9"/>
      <c r="J388" s="9"/>
      <c r="K388" s="9"/>
      <c r="L388" s="16"/>
      <c r="M388" s="16"/>
      <c r="N388" s="16"/>
      <c r="O388" s="16"/>
      <c r="P388" s="16"/>
      <c r="Q388" s="16"/>
      <c r="R388" s="16"/>
      <c r="S388" s="16"/>
      <c r="T388" s="16"/>
      <c r="U388" s="16"/>
    </row>
    <row r="389" spans="1:21" ht="39.75" customHeight="1">
      <c r="A389" s="30"/>
      <c r="B389" s="30"/>
      <c r="C389" s="9" t="s">
        <v>443</v>
      </c>
      <c r="D389" s="9"/>
      <c r="E389" s="9"/>
      <c r="F389" s="9"/>
      <c r="G389" s="9"/>
      <c r="H389" s="9"/>
      <c r="I389" s="9"/>
      <c r="J389" s="9"/>
      <c r="K389" s="9"/>
      <c r="L389" s="16"/>
      <c r="M389" s="16"/>
      <c r="N389" s="16"/>
      <c r="O389" s="16"/>
      <c r="P389" s="16"/>
      <c r="Q389" s="16"/>
      <c r="R389" s="16"/>
      <c r="S389" s="16"/>
      <c r="T389" s="16"/>
      <c r="U389" s="16"/>
    </row>
    <row r="390" spans="1:21" ht="39.75" customHeight="1">
      <c r="A390" s="30"/>
      <c r="B390" s="30"/>
      <c r="C390" s="9" t="s">
        <v>444</v>
      </c>
      <c r="D390" s="9"/>
      <c r="E390" s="9"/>
      <c r="F390" s="9"/>
      <c r="G390" s="9"/>
      <c r="H390" s="9"/>
      <c r="I390" s="9"/>
      <c r="J390" s="9"/>
      <c r="K390" s="9"/>
      <c r="L390" s="16"/>
      <c r="M390" s="16"/>
      <c r="N390" s="16"/>
      <c r="O390" s="16"/>
      <c r="P390" s="16"/>
      <c r="Q390" s="16"/>
      <c r="R390" s="16"/>
      <c r="S390" s="16"/>
      <c r="T390" s="16"/>
      <c r="U390" s="16"/>
    </row>
    <row r="391" spans="1:21" ht="39.75" customHeight="1">
      <c r="A391" s="30"/>
      <c r="B391" s="30"/>
      <c r="C391" s="9" t="s">
        <v>445</v>
      </c>
      <c r="D391" s="9"/>
      <c r="E391" s="9"/>
      <c r="F391" s="9"/>
      <c r="G391" s="9"/>
      <c r="H391" s="9"/>
      <c r="I391" s="9"/>
      <c r="J391" s="9"/>
      <c r="K391" s="9"/>
      <c r="L391" s="16"/>
      <c r="M391" s="16"/>
      <c r="N391" s="16"/>
      <c r="O391" s="16"/>
      <c r="P391" s="16"/>
      <c r="Q391" s="16"/>
      <c r="R391" s="16"/>
      <c r="S391" s="16"/>
      <c r="T391" s="16"/>
      <c r="U391" s="16"/>
    </row>
    <row r="392" spans="1:21" ht="39.75" customHeight="1">
      <c r="A392" s="30"/>
      <c r="B392" s="30"/>
      <c r="C392" s="9" t="s">
        <v>446</v>
      </c>
      <c r="D392" s="9"/>
      <c r="E392" s="9"/>
      <c r="F392" s="9"/>
      <c r="G392" s="9"/>
      <c r="H392" s="9"/>
      <c r="I392" s="9"/>
      <c r="J392" s="9"/>
      <c r="K392" s="9"/>
      <c r="L392" s="16"/>
      <c r="M392" s="16"/>
      <c r="N392" s="16"/>
      <c r="O392" s="16"/>
      <c r="P392" s="16"/>
      <c r="Q392" s="16"/>
      <c r="R392" s="16"/>
      <c r="S392" s="16"/>
      <c r="T392" s="16"/>
      <c r="U392" s="16"/>
    </row>
    <row r="393" spans="1:21" ht="39.75" customHeight="1">
      <c r="A393" s="30"/>
      <c r="B393" s="30"/>
      <c r="C393" s="9" t="s">
        <v>447</v>
      </c>
      <c r="D393" s="9"/>
      <c r="E393" s="9"/>
      <c r="F393" s="9"/>
      <c r="G393" s="9"/>
      <c r="H393" s="9"/>
      <c r="I393" s="9"/>
      <c r="J393" s="9"/>
      <c r="K393" s="9"/>
      <c r="L393" s="16"/>
      <c r="M393" s="16"/>
      <c r="N393" s="16"/>
      <c r="O393" s="16"/>
      <c r="P393" s="16"/>
      <c r="Q393" s="16"/>
      <c r="R393" s="16"/>
      <c r="S393" s="16"/>
      <c r="T393" s="16"/>
      <c r="U393" s="16"/>
    </row>
    <row r="394" spans="1:21" ht="39.75" customHeight="1">
      <c r="A394" s="30"/>
      <c r="B394" s="30"/>
      <c r="C394" s="9" t="s">
        <v>448</v>
      </c>
      <c r="D394" s="9"/>
      <c r="E394" s="9"/>
      <c r="F394" s="9"/>
      <c r="G394" s="9"/>
      <c r="H394" s="9"/>
      <c r="I394" s="9"/>
      <c r="J394" s="9"/>
      <c r="K394" s="9"/>
      <c r="L394" s="16"/>
      <c r="M394" s="16"/>
      <c r="N394" s="16"/>
      <c r="O394" s="16"/>
      <c r="P394" s="16"/>
      <c r="Q394" s="16"/>
      <c r="R394" s="16"/>
      <c r="S394" s="16"/>
      <c r="T394" s="16"/>
      <c r="U394" s="16"/>
    </row>
    <row r="395" spans="1:21" ht="39.75" customHeight="1">
      <c r="A395" s="30"/>
      <c r="B395" s="30"/>
      <c r="C395" s="9" t="s">
        <v>449</v>
      </c>
      <c r="D395" s="9"/>
      <c r="E395" s="9"/>
      <c r="F395" s="9"/>
      <c r="G395" s="9"/>
      <c r="H395" s="9"/>
      <c r="I395" s="9"/>
      <c r="J395" s="9"/>
      <c r="K395" s="9"/>
      <c r="L395" s="16"/>
      <c r="M395" s="16"/>
      <c r="N395" s="16"/>
      <c r="O395" s="16"/>
      <c r="P395" s="16"/>
      <c r="Q395" s="16"/>
      <c r="R395" s="16"/>
      <c r="S395" s="16"/>
      <c r="T395" s="16"/>
      <c r="U395" s="16"/>
    </row>
    <row r="396" spans="1:21" ht="39.75" customHeight="1">
      <c r="A396" s="30"/>
      <c r="B396" s="30"/>
      <c r="C396" s="9" t="s">
        <v>450</v>
      </c>
      <c r="D396" s="9"/>
      <c r="E396" s="9"/>
      <c r="F396" s="9"/>
      <c r="G396" s="9"/>
      <c r="H396" s="9"/>
      <c r="I396" s="9"/>
      <c r="J396" s="9"/>
      <c r="K396" s="9"/>
      <c r="L396" s="16"/>
      <c r="M396" s="16"/>
      <c r="N396" s="16"/>
      <c r="O396" s="16"/>
      <c r="P396" s="16"/>
      <c r="Q396" s="16"/>
      <c r="R396" s="16"/>
      <c r="S396" s="16"/>
      <c r="T396" s="16"/>
      <c r="U396" s="16"/>
    </row>
    <row r="397" spans="1:21" ht="39.75" customHeight="1">
      <c r="A397" s="30"/>
      <c r="B397" s="30"/>
      <c r="C397" s="9" t="s">
        <v>451</v>
      </c>
      <c r="D397" s="9"/>
      <c r="E397" s="9"/>
      <c r="F397" s="9"/>
      <c r="G397" s="9"/>
      <c r="H397" s="9"/>
      <c r="I397" s="9"/>
      <c r="J397" s="9"/>
      <c r="K397" s="9"/>
      <c r="L397" s="16"/>
      <c r="M397" s="16"/>
      <c r="N397" s="16"/>
      <c r="O397" s="16"/>
      <c r="P397" s="16"/>
      <c r="Q397" s="16"/>
      <c r="R397" s="16"/>
      <c r="S397" s="16"/>
      <c r="T397" s="16"/>
      <c r="U397" s="16"/>
    </row>
    <row r="398" spans="1:21" ht="39.75" customHeight="1">
      <c r="A398" s="30"/>
      <c r="B398" s="30"/>
      <c r="C398" s="9" t="s">
        <v>452</v>
      </c>
      <c r="D398" s="9"/>
      <c r="E398" s="9"/>
      <c r="F398" s="9"/>
      <c r="G398" s="9"/>
      <c r="H398" s="9"/>
      <c r="I398" s="9"/>
      <c r="J398" s="9"/>
      <c r="K398" s="9"/>
      <c r="L398" s="16"/>
      <c r="M398" s="16"/>
      <c r="N398" s="16"/>
      <c r="O398" s="16"/>
      <c r="P398" s="16"/>
      <c r="Q398" s="16"/>
      <c r="R398" s="16"/>
      <c r="S398" s="16"/>
      <c r="T398" s="16"/>
      <c r="U398" s="16"/>
    </row>
    <row r="399" spans="1:21" ht="39.75" customHeight="1">
      <c r="A399" s="30"/>
      <c r="B399" s="30"/>
      <c r="C399" s="9" t="s">
        <v>453</v>
      </c>
      <c r="D399" s="9"/>
      <c r="E399" s="9"/>
      <c r="F399" s="9"/>
      <c r="G399" s="9"/>
      <c r="H399" s="9"/>
      <c r="I399" s="9"/>
      <c r="J399" s="9"/>
      <c r="K399" s="9"/>
      <c r="L399" s="16"/>
      <c r="M399" s="16"/>
      <c r="N399" s="16"/>
      <c r="O399" s="16"/>
      <c r="P399" s="16"/>
      <c r="Q399" s="16"/>
      <c r="R399" s="16"/>
      <c r="S399" s="16"/>
      <c r="T399" s="16"/>
      <c r="U399" s="16"/>
    </row>
    <row r="400" spans="1:21" ht="39.75" customHeight="1">
      <c r="A400" s="30"/>
      <c r="B400" s="30"/>
      <c r="C400" s="9" t="s">
        <v>454</v>
      </c>
      <c r="D400" s="9"/>
      <c r="E400" s="9"/>
      <c r="F400" s="9"/>
      <c r="G400" s="9"/>
      <c r="H400" s="9"/>
      <c r="I400" s="9"/>
      <c r="J400" s="9"/>
      <c r="K400" s="9"/>
      <c r="L400" s="16"/>
      <c r="M400" s="16"/>
      <c r="N400" s="16"/>
      <c r="O400" s="16"/>
      <c r="P400" s="16"/>
      <c r="Q400" s="16"/>
      <c r="R400" s="16"/>
      <c r="S400" s="16"/>
      <c r="T400" s="16"/>
      <c r="U400" s="16"/>
    </row>
    <row r="401" spans="1:21" ht="39.75" customHeight="1">
      <c r="A401" s="30"/>
      <c r="B401" s="30"/>
      <c r="C401" s="9" t="s">
        <v>455</v>
      </c>
      <c r="D401" s="9"/>
      <c r="E401" s="9"/>
      <c r="F401" s="9"/>
      <c r="G401" s="9"/>
      <c r="H401" s="9"/>
      <c r="I401" s="9"/>
      <c r="J401" s="9"/>
      <c r="K401" s="9"/>
      <c r="L401" s="16"/>
      <c r="M401" s="16"/>
      <c r="N401" s="16"/>
      <c r="O401" s="16"/>
      <c r="P401" s="16"/>
      <c r="Q401" s="16"/>
      <c r="R401" s="16"/>
      <c r="S401" s="16"/>
      <c r="T401" s="16"/>
      <c r="U401" s="16"/>
    </row>
    <row r="402" spans="1:21" ht="39.75" customHeight="1">
      <c r="A402" s="30"/>
      <c r="B402" s="30"/>
      <c r="C402" s="9" t="s">
        <v>456</v>
      </c>
      <c r="D402" s="9"/>
      <c r="E402" s="9"/>
      <c r="F402" s="9"/>
      <c r="G402" s="9"/>
      <c r="H402" s="9"/>
      <c r="I402" s="9"/>
      <c r="J402" s="9"/>
      <c r="K402" s="9"/>
      <c r="L402" s="16"/>
      <c r="M402" s="16"/>
      <c r="N402" s="16"/>
      <c r="O402" s="16"/>
      <c r="P402" s="16"/>
      <c r="Q402" s="16"/>
      <c r="R402" s="16"/>
      <c r="S402" s="16"/>
      <c r="T402" s="16"/>
      <c r="U402" s="16"/>
    </row>
    <row r="403" spans="1:21" ht="39.75" customHeight="1">
      <c r="A403" s="30"/>
      <c r="B403" s="30"/>
      <c r="C403" s="9" t="s">
        <v>457</v>
      </c>
      <c r="D403" s="9"/>
      <c r="E403" s="9"/>
      <c r="F403" s="9"/>
      <c r="G403" s="9"/>
      <c r="H403" s="9"/>
      <c r="I403" s="9"/>
      <c r="J403" s="9"/>
      <c r="K403" s="9"/>
      <c r="L403" s="16"/>
      <c r="M403" s="16"/>
      <c r="N403" s="16"/>
      <c r="O403" s="16"/>
      <c r="P403" s="16"/>
      <c r="Q403" s="16"/>
      <c r="R403" s="16"/>
      <c r="S403" s="16"/>
      <c r="T403" s="16"/>
      <c r="U403" s="16"/>
    </row>
    <row r="404" spans="1:21" ht="39.75" customHeight="1">
      <c r="A404" s="30"/>
      <c r="B404" s="30"/>
      <c r="C404" s="9" t="s">
        <v>458</v>
      </c>
      <c r="D404" s="9"/>
      <c r="E404" s="9"/>
      <c r="F404" s="9"/>
      <c r="G404" s="9"/>
      <c r="H404" s="9"/>
      <c r="I404" s="9"/>
      <c r="J404" s="9"/>
      <c r="K404" s="9"/>
      <c r="L404" s="16"/>
      <c r="M404" s="16"/>
      <c r="N404" s="16"/>
      <c r="O404" s="16"/>
      <c r="P404" s="16"/>
      <c r="Q404" s="16"/>
      <c r="R404" s="16"/>
      <c r="S404" s="16"/>
      <c r="T404" s="16"/>
      <c r="U404" s="16"/>
    </row>
    <row r="405" spans="1:21" ht="39.75" customHeight="1">
      <c r="A405" s="30"/>
      <c r="B405" s="30"/>
      <c r="C405" s="9" t="s">
        <v>459</v>
      </c>
      <c r="D405" s="9"/>
      <c r="E405" s="9"/>
      <c r="F405" s="9"/>
      <c r="G405" s="9"/>
      <c r="H405" s="9"/>
      <c r="I405" s="9"/>
      <c r="J405" s="9"/>
      <c r="K405" s="9"/>
      <c r="L405" s="16"/>
      <c r="M405" s="16"/>
      <c r="N405" s="16"/>
      <c r="O405" s="16"/>
      <c r="P405" s="16"/>
      <c r="Q405" s="16"/>
      <c r="R405" s="16"/>
      <c r="S405" s="16"/>
      <c r="T405" s="16"/>
      <c r="U405" s="16"/>
    </row>
    <row r="406" spans="1:21" ht="39.75" customHeight="1">
      <c r="A406" s="30"/>
      <c r="B406" s="30"/>
      <c r="C406" s="9" t="s">
        <v>460</v>
      </c>
      <c r="D406" s="9"/>
      <c r="E406" s="9"/>
      <c r="F406" s="9"/>
      <c r="G406" s="9"/>
      <c r="H406" s="9"/>
      <c r="I406" s="9"/>
      <c r="J406" s="9"/>
      <c r="K406" s="9"/>
      <c r="L406" s="16"/>
      <c r="M406" s="16"/>
      <c r="N406" s="16"/>
      <c r="O406" s="16"/>
      <c r="P406" s="16"/>
      <c r="Q406" s="16"/>
      <c r="R406" s="16"/>
      <c r="S406" s="16"/>
      <c r="T406" s="16"/>
      <c r="U406" s="16"/>
    </row>
    <row r="407" spans="1:21" ht="39.75" customHeight="1">
      <c r="A407" s="31"/>
      <c r="B407" s="31"/>
      <c r="C407" s="9" t="s">
        <v>461</v>
      </c>
      <c r="D407" s="9"/>
      <c r="E407" s="9"/>
      <c r="F407" s="9"/>
      <c r="G407" s="9"/>
      <c r="H407" s="9"/>
      <c r="I407" s="9"/>
      <c r="J407" s="9"/>
      <c r="K407" s="9"/>
      <c r="L407" s="16"/>
      <c r="M407" s="16"/>
      <c r="N407" s="16"/>
      <c r="O407" s="16"/>
      <c r="P407" s="16"/>
      <c r="Q407" s="16"/>
      <c r="R407" s="16"/>
      <c r="S407" s="16"/>
      <c r="T407" s="16"/>
      <c r="U407" s="16"/>
    </row>
  </sheetData>
  <mergeCells count="70">
    <mergeCell ref="B189:B196"/>
    <mergeCell ref="B198:B205"/>
    <mergeCell ref="B206:B207"/>
    <mergeCell ref="B208:B210"/>
    <mergeCell ref="B211:B218"/>
    <mergeCell ref="B219:B220"/>
    <mergeCell ref="B284:B286"/>
    <mergeCell ref="B287:B297"/>
    <mergeCell ref="B298:B315"/>
    <mergeCell ref="B316:B320"/>
    <mergeCell ref="B221:B222"/>
    <mergeCell ref="B223:B224"/>
    <mergeCell ref="A235:A320"/>
    <mergeCell ref="B235:B258"/>
    <mergeCell ref="B259:B264"/>
    <mergeCell ref="B265:B275"/>
    <mergeCell ref="B276:B283"/>
    <mergeCell ref="A359:A376"/>
    <mergeCell ref="A377:A407"/>
    <mergeCell ref="B377:B407"/>
    <mergeCell ref="A321:A358"/>
    <mergeCell ref="B321:B354"/>
    <mergeCell ref="B355:B358"/>
    <mergeCell ref="B359:B361"/>
    <mergeCell ref="B362:B364"/>
    <mergeCell ref="B365:B368"/>
    <mergeCell ref="B369:B376"/>
    <mergeCell ref="A1:H1"/>
    <mergeCell ref="I1:O1"/>
    <mergeCell ref="P1:U1"/>
    <mergeCell ref="A3:A13"/>
    <mergeCell ref="B3:B4"/>
    <mergeCell ref="B5:B6"/>
    <mergeCell ref="B7:B8"/>
    <mergeCell ref="B25:B29"/>
    <mergeCell ref="B30:B36"/>
    <mergeCell ref="B9:B11"/>
    <mergeCell ref="B12:B13"/>
    <mergeCell ref="A14:A21"/>
    <mergeCell ref="B17:B18"/>
    <mergeCell ref="B19:B21"/>
    <mergeCell ref="A22:A36"/>
    <mergeCell ref="B22:B24"/>
    <mergeCell ref="B57:B62"/>
    <mergeCell ref="B63:B66"/>
    <mergeCell ref="A53:A77"/>
    <mergeCell ref="A78:A95"/>
    <mergeCell ref="A96:A188"/>
    <mergeCell ref="B91:B95"/>
    <mergeCell ref="B96:B99"/>
    <mergeCell ref="B100:B118"/>
    <mergeCell ref="B119:B130"/>
    <mergeCell ref="B131:B150"/>
    <mergeCell ref="B151:B188"/>
    <mergeCell ref="A189:A205"/>
    <mergeCell ref="A206:A234"/>
    <mergeCell ref="A37:A52"/>
    <mergeCell ref="B37:B41"/>
    <mergeCell ref="B42:B44"/>
    <mergeCell ref="B45:B49"/>
    <mergeCell ref="B50:B52"/>
    <mergeCell ref="B53:B56"/>
    <mergeCell ref="B68:B77"/>
    <mergeCell ref="B225:B226"/>
    <mergeCell ref="B227:B228"/>
    <mergeCell ref="B229:B230"/>
    <mergeCell ref="B231:B232"/>
    <mergeCell ref="B233:B234"/>
    <mergeCell ref="B78:B85"/>
    <mergeCell ref="B86:B90"/>
  </mergeCells>
  <pageMargins left="0.25" right="0.25" top="0.75" bottom="0.75" header="0" footer="0"/>
  <pageSetup paperSize="5" scale="53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outlinePr summaryBelow="0" summaryRight="0"/>
  </sheetPr>
  <dimension ref="A1:S1000"/>
  <sheetViews>
    <sheetView workbookViewId="0"/>
  </sheetViews>
  <sheetFormatPr baseColWidth="10" defaultColWidth="11.1640625" defaultRowHeight="15" customHeight="1"/>
  <cols>
    <col min="1" max="1" width="29" customWidth="1"/>
  </cols>
  <sheetData>
    <row r="1" spans="1:19">
      <c r="A1" s="23" t="str">
        <f ca="1">IFERROR(__xludf.DUMMYFUNCTION("IMPORTRANGE(""https://docs.google.com/spreadsheets/d/1nl62gOYabBi8M9K4sAWzHs9aK0yg7okEE97_ISjk4YI/edit?gid=1892909280#gid=1892909280"",""01!A1:S"")"),"INDICADORES")</f>
        <v>INDICADORES</v>
      </c>
      <c r="B1" s="23" t="str">
        <f ca="1">IFERROR(__xludf.DUMMYFUNCTION("""COMPUTED_VALUE"""),"META ANUAL")</f>
        <v>META ANUAL</v>
      </c>
      <c r="C1" s="23" t="str">
        <f ca="1">IFERROR(__xludf.DUMMYFUNCTION("""COMPUTED_VALUE"""),"UNIDAD DE MEDIDA")</f>
        <v>UNIDAD DE MEDIDA</v>
      </c>
      <c r="D1" s="23" t="str">
        <f ca="1">IFERROR(__xludf.DUMMYFUNCTION("""COMPUTED_VALUE"""),"TIPO DE INDICADOR")</f>
        <v>TIPO DE INDICADOR</v>
      </c>
      <c r="E1" s="23" t="str">
        <f ca="1">IFERROR(__xludf.DUMMYFUNCTION("""COMPUTED_VALUE"""),"MEDIO DE VERIFICACION")</f>
        <v>MEDIO DE VERIFICACION</v>
      </c>
      <c r="F1" s="23" t="str">
        <f ca="1">IFERROR(__xludf.DUMMYFUNCTION("""COMPUTED_VALUE"""),"% AVANCE ")</f>
        <v xml:space="preserve">% AVANCE </v>
      </c>
      <c r="G1" s="23" t="str">
        <f ca="1">IFERROR(__xludf.DUMMYFUNCTION("""COMPUTED_VALUE"""),"OCTUBRE")</f>
        <v>OCTUBRE</v>
      </c>
      <c r="H1" s="23" t="str">
        <f ca="1">IFERROR(__xludf.DUMMYFUNCTION("""COMPUTED_VALUE"""),"NOVIEMBRE")</f>
        <v>NOVIEMBRE</v>
      </c>
      <c r="I1" s="23" t="str">
        <f ca="1">IFERROR(__xludf.DUMMYFUNCTION("""COMPUTED_VALUE"""),"DICIEMBRE")</f>
        <v>DICIEMBRE</v>
      </c>
      <c r="J1" s="23" t="str">
        <f ca="1">IFERROR(__xludf.DUMMYFUNCTION("""COMPUTED_VALUE"""),"ENERO ")</f>
        <v xml:space="preserve">ENERO </v>
      </c>
      <c r="K1" s="23" t="str">
        <f ca="1">IFERROR(__xludf.DUMMYFUNCTION("""COMPUTED_VALUE"""),"FEBRERO")</f>
        <v>FEBRERO</v>
      </c>
      <c r="L1" s="23" t="str">
        <f ca="1">IFERROR(__xludf.DUMMYFUNCTION("""COMPUTED_VALUE"""),"MARZO")</f>
        <v>MARZO</v>
      </c>
      <c r="M1" s="23" t="str">
        <f ca="1">IFERROR(__xludf.DUMMYFUNCTION("""COMPUTED_VALUE"""),"ABRIL")</f>
        <v>ABRIL</v>
      </c>
      <c r="N1" s="23" t="str">
        <f ca="1">IFERROR(__xludf.DUMMYFUNCTION("""COMPUTED_VALUE"""),"MAYO")</f>
        <v>MAYO</v>
      </c>
      <c r="O1" s="23" t="str">
        <f ca="1">IFERROR(__xludf.DUMMYFUNCTION("""COMPUTED_VALUE"""),"JUNIO")</f>
        <v>JUNIO</v>
      </c>
      <c r="P1" s="23" t="str">
        <f ca="1">IFERROR(__xludf.DUMMYFUNCTION("""COMPUTED_VALUE"""),"JULIO")</f>
        <v>JULIO</v>
      </c>
      <c r="Q1" s="23" t="str">
        <f ca="1">IFERROR(__xludf.DUMMYFUNCTION("""COMPUTED_VALUE"""),"AGOSTO")</f>
        <v>AGOSTO</v>
      </c>
      <c r="R1" s="23" t="str">
        <f ca="1">IFERROR(__xludf.DUMMYFUNCTION("""COMPUTED_VALUE"""),"SEPTIEMBRE")</f>
        <v>SEPTIEMBRE</v>
      </c>
      <c r="S1" s="23" t="str">
        <f ca="1">IFERROR(__xludf.DUMMYFUNCTION("""COMPUTED_VALUE"""),"SUMATORIA TOTAL")</f>
        <v>SUMATORIA TOTAL</v>
      </c>
    </row>
    <row r="2" spans="1:19">
      <c r="A2" s="23" t="str">
        <f ca="1">IFERROR(__xludf.DUMMYFUNCTION("""COMPUTED_VALUE"""),"PROCESOS DE LICITACION")</f>
        <v>PROCESOS DE LICITACION</v>
      </c>
      <c r="B2" s="23">
        <f ca="1">IFERROR(__xludf.DUMMYFUNCTION("""COMPUTED_VALUE"""),1)</f>
        <v>1</v>
      </c>
      <c r="C2" s="23"/>
      <c r="D2" s="23" t="str">
        <f ca="1">IFERROR(__xludf.DUMMYFUNCTION("""COMPUTED_VALUE"""),"ASCENDENTE")</f>
        <v>ASCENDENTE</v>
      </c>
      <c r="E2" s="23" t="str">
        <f ca="1">IFERROR(__xludf.DUMMYFUNCTION("""COMPUTED_VALUE"""),"SESIONES PUBLICAS")</f>
        <v>SESIONES PUBLICAS</v>
      </c>
      <c r="F2" s="23">
        <f ca="1">IFERROR(__xludf.DUMMYFUNCTION("""COMPUTED_VALUE"""),0)</f>
        <v>0</v>
      </c>
      <c r="G2" s="23">
        <f ca="1">IFERROR(__xludf.DUMMYFUNCTION("""COMPUTED_VALUE"""),0)</f>
        <v>0</v>
      </c>
      <c r="H2" s="23">
        <f ca="1">IFERROR(__xludf.DUMMYFUNCTION("""COMPUTED_VALUE"""),0)</f>
        <v>0</v>
      </c>
      <c r="I2" s="23">
        <f ca="1">IFERROR(__xludf.DUMMYFUNCTION("""COMPUTED_VALUE"""),0)</f>
        <v>0</v>
      </c>
      <c r="J2" s="23">
        <f ca="1">IFERROR(__xludf.DUMMYFUNCTION("""COMPUTED_VALUE"""),0)</f>
        <v>0</v>
      </c>
      <c r="K2" s="23">
        <f ca="1">IFERROR(__xludf.DUMMYFUNCTION("""COMPUTED_VALUE"""),1)</f>
        <v>1</v>
      </c>
      <c r="L2" s="23">
        <f ca="1">IFERROR(__xludf.DUMMYFUNCTION("""COMPUTED_VALUE"""),1)</f>
        <v>1</v>
      </c>
      <c r="M2" s="23">
        <f ca="1">IFERROR(__xludf.DUMMYFUNCTION("""COMPUTED_VALUE"""),0)</f>
        <v>0</v>
      </c>
      <c r="N2" s="23">
        <f ca="1">IFERROR(__xludf.DUMMYFUNCTION("""COMPUTED_VALUE"""),0)</f>
        <v>0</v>
      </c>
      <c r="O2" s="23">
        <f ca="1">IFERROR(__xludf.DUMMYFUNCTION("""COMPUTED_VALUE"""),0)</f>
        <v>0</v>
      </c>
      <c r="P2" s="23">
        <f ca="1">IFERROR(__xludf.DUMMYFUNCTION("""COMPUTED_VALUE"""),0)</f>
        <v>0</v>
      </c>
      <c r="Q2" s="23">
        <f ca="1">IFERROR(__xludf.DUMMYFUNCTION("""COMPUTED_VALUE"""),0)</f>
        <v>0</v>
      </c>
      <c r="R2" s="23">
        <f ca="1">IFERROR(__xludf.DUMMYFUNCTION("""COMPUTED_VALUE"""),0)</f>
        <v>0</v>
      </c>
      <c r="S2" s="23">
        <f ca="1">IFERROR(__xludf.DUMMYFUNCTION("""COMPUTED_VALUE"""),2)</f>
        <v>2</v>
      </c>
    </row>
    <row r="3" spans="1:19">
      <c r="A3" s="23" t="str">
        <f ca="1">IFERROR(__xludf.DUMMYFUNCTION("""COMPUTED_VALUE"""),"ADJUDICACIONES DIRECTAS")</f>
        <v>ADJUDICACIONES DIRECTAS</v>
      </c>
      <c r="B3" s="23">
        <f ca="1">IFERROR(__xludf.DUMMYFUNCTION("""COMPUTED_VALUE"""),1)</f>
        <v>1</v>
      </c>
      <c r="C3" s="23"/>
      <c r="D3" s="23" t="str">
        <f ca="1">IFERROR(__xludf.DUMMYFUNCTION("""COMPUTED_VALUE"""),"ASCENDENTE")</f>
        <v>ASCENDENTE</v>
      </c>
      <c r="E3" s="23" t="str">
        <f ca="1">IFERROR(__xludf.DUMMYFUNCTION("""COMPUTED_VALUE"""),"BITACORA DE ATENCION")</f>
        <v>BITACORA DE ATENCION</v>
      </c>
      <c r="F3" s="23">
        <f ca="1">IFERROR(__xludf.DUMMYFUNCTION("""COMPUTED_VALUE"""),0)</f>
        <v>0</v>
      </c>
      <c r="G3" s="23">
        <f ca="1">IFERROR(__xludf.DUMMYFUNCTION("""COMPUTED_VALUE"""),0)</f>
        <v>0</v>
      </c>
      <c r="H3" s="23">
        <f ca="1">IFERROR(__xludf.DUMMYFUNCTION("""COMPUTED_VALUE"""),0)</f>
        <v>0</v>
      </c>
      <c r="I3" s="23">
        <f ca="1">IFERROR(__xludf.DUMMYFUNCTION("""COMPUTED_VALUE"""),0)</f>
        <v>0</v>
      </c>
      <c r="J3" s="23">
        <f ca="1">IFERROR(__xludf.DUMMYFUNCTION("""COMPUTED_VALUE"""),1)</f>
        <v>1</v>
      </c>
      <c r="K3" s="23">
        <f ca="1">IFERROR(__xludf.DUMMYFUNCTION("""COMPUTED_VALUE"""),2)</f>
        <v>2</v>
      </c>
      <c r="L3" s="23">
        <f ca="1">IFERROR(__xludf.DUMMYFUNCTION("""COMPUTED_VALUE"""),0)</f>
        <v>0</v>
      </c>
      <c r="M3" s="23">
        <f ca="1">IFERROR(__xludf.DUMMYFUNCTION("""COMPUTED_VALUE"""),0)</f>
        <v>0</v>
      </c>
      <c r="N3" s="23">
        <f ca="1">IFERROR(__xludf.DUMMYFUNCTION("""COMPUTED_VALUE"""),0)</f>
        <v>0</v>
      </c>
      <c r="O3" s="23">
        <f ca="1">IFERROR(__xludf.DUMMYFUNCTION("""COMPUTED_VALUE"""),0)</f>
        <v>0</v>
      </c>
      <c r="P3" s="23">
        <f ca="1">IFERROR(__xludf.DUMMYFUNCTION("""COMPUTED_VALUE"""),0)</f>
        <v>0</v>
      </c>
      <c r="Q3" s="23">
        <f ca="1">IFERROR(__xludf.DUMMYFUNCTION("""COMPUTED_VALUE"""),0)</f>
        <v>0</v>
      </c>
      <c r="R3" s="23">
        <f ca="1">IFERROR(__xludf.DUMMYFUNCTION("""COMPUTED_VALUE"""),0)</f>
        <v>0</v>
      </c>
      <c r="S3" s="23">
        <f ca="1">IFERROR(__xludf.DUMMYFUNCTION("""COMPUTED_VALUE"""),3)</f>
        <v>3</v>
      </c>
    </row>
    <row r="4" spans="1:19">
      <c r="A4" s="23" t="str">
        <f ca="1">IFERROR(__xludf.DUMMYFUNCTION("""COMPUTED_VALUE"""),"REQUISICIONES SURTIDAS")</f>
        <v>REQUISICIONES SURTIDAS</v>
      </c>
      <c r="B4" s="23">
        <f ca="1">IFERROR(__xludf.DUMMYFUNCTION("""COMPUTED_VALUE"""),1)</f>
        <v>1</v>
      </c>
      <c r="C4" s="23"/>
      <c r="D4" s="23" t="str">
        <f ca="1">IFERROR(__xludf.DUMMYFUNCTION("""COMPUTED_VALUE"""),"ASCENDENTE")</f>
        <v>ASCENDENTE</v>
      </c>
      <c r="E4" s="23" t="str">
        <f ca="1">IFERROR(__xludf.DUMMYFUNCTION("""COMPUTED_VALUE"""),"BITACORA DE ATENCION")</f>
        <v>BITACORA DE ATENCION</v>
      </c>
      <c r="F4" s="23">
        <f ca="1">IFERROR(__xludf.DUMMYFUNCTION("""COMPUTED_VALUE"""),0)</f>
        <v>0</v>
      </c>
      <c r="G4" s="23">
        <f ca="1">IFERROR(__xludf.DUMMYFUNCTION("""COMPUTED_VALUE"""),0)</f>
        <v>0</v>
      </c>
      <c r="H4" s="23">
        <f ca="1">IFERROR(__xludf.DUMMYFUNCTION("""COMPUTED_VALUE"""),0)</f>
        <v>0</v>
      </c>
      <c r="I4" s="23">
        <f ca="1">IFERROR(__xludf.DUMMYFUNCTION("""COMPUTED_VALUE"""),0)</f>
        <v>0</v>
      </c>
      <c r="J4" s="23">
        <f ca="1">IFERROR(__xludf.DUMMYFUNCTION("""COMPUTED_VALUE"""),299)</f>
        <v>299</v>
      </c>
      <c r="K4" s="23">
        <f ca="1">IFERROR(__xludf.DUMMYFUNCTION("""COMPUTED_VALUE"""),527)</f>
        <v>527</v>
      </c>
      <c r="L4" s="23">
        <f ca="1">IFERROR(__xludf.DUMMYFUNCTION("""COMPUTED_VALUE"""),0)</f>
        <v>0</v>
      </c>
      <c r="M4" s="23">
        <f ca="1">IFERROR(__xludf.DUMMYFUNCTION("""COMPUTED_VALUE"""),0)</f>
        <v>0</v>
      </c>
      <c r="N4" s="23">
        <f ca="1">IFERROR(__xludf.DUMMYFUNCTION("""COMPUTED_VALUE"""),0)</f>
        <v>0</v>
      </c>
      <c r="O4" s="23">
        <f ca="1">IFERROR(__xludf.DUMMYFUNCTION("""COMPUTED_VALUE"""),0)</f>
        <v>0</v>
      </c>
      <c r="P4" s="23">
        <f ca="1">IFERROR(__xludf.DUMMYFUNCTION("""COMPUTED_VALUE"""),0)</f>
        <v>0</v>
      </c>
      <c r="Q4" s="23">
        <f ca="1">IFERROR(__xludf.DUMMYFUNCTION("""COMPUTED_VALUE"""),0)</f>
        <v>0</v>
      </c>
      <c r="R4" s="23">
        <f ca="1">IFERROR(__xludf.DUMMYFUNCTION("""COMPUTED_VALUE"""),0)</f>
        <v>0</v>
      </c>
      <c r="S4" s="23">
        <f ca="1">IFERROR(__xludf.DUMMYFUNCTION("""COMPUTED_VALUE"""),826)</f>
        <v>826</v>
      </c>
    </row>
    <row r="5" spans="1:19">
      <c r="A5" s="23" t="str">
        <f ca="1">IFERROR(__xludf.DUMMYFUNCTION("""COMPUTED_VALUE"""),"VALES DE ALMACEN SURTIDOS")</f>
        <v>VALES DE ALMACEN SURTIDOS</v>
      </c>
      <c r="B5" s="23">
        <f ca="1">IFERROR(__xludf.DUMMYFUNCTION("""COMPUTED_VALUE"""),1)</f>
        <v>1</v>
      </c>
      <c r="C5" s="23"/>
      <c r="D5" s="23" t="str">
        <f ca="1">IFERROR(__xludf.DUMMYFUNCTION("""COMPUTED_VALUE"""),"ASCENDENTE")</f>
        <v>ASCENDENTE</v>
      </c>
      <c r="E5" s="23" t="str">
        <f ca="1">IFERROR(__xludf.DUMMYFUNCTION("""COMPUTED_VALUE"""),"BITACORA OPERATIVA")</f>
        <v>BITACORA OPERATIVA</v>
      </c>
      <c r="F5" s="23">
        <f ca="1">IFERROR(__xludf.DUMMYFUNCTION("""COMPUTED_VALUE"""),0)</f>
        <v>0</v>
      </c>
      <c r="G5" s="23">
        <f ca="1">IFERROR(__xludf.DUMMYFUNCTION("""COMPUTED_VALUE"""),0)</f>
        <v>0</v>
      </c>
      <c r="H5" s="23">
        <f ca="1">IFERROR(__xludf.DUMMYFUNCTION("""COMPUTED_VALUE"""),0)</f>
        <v>0</v>
      </c>
      <c r="I5" s="23">
        <f ca="1">IFERROR(__xludf.DUMMYFUNCTION("""COMPUTED_VALUE"""),0)</f>
        <v>0</v>
      </c>
      <c r="J5" s="23">
        <f ca="1">IFERROR(__xludf.DUMMYFUNCTION("""COMPUTED_VALUE"""),138)</f>
        <v>138</v>
      </c>
      <c r="K5" s="23">
        <f ca="1">IFERROR(__xludf.DUMMYFUNCTION("""COMPUTED_VALUE"""),122)</f>
        <v>122</v>
      </c>
      <c r="L5" s="23">
        <f ca="1">IFERROR(__xludf.DUMMYFUNCTION("""COMPUTED_VALUE"""),114)</f>
        <v>114</v>
      </c>
      <c r="M5" s="23">
        <f ca="1">IFERROR(__xludf.DUMMYFUNCTION("""COMPUTED_VALUE"""),0)</f>
        <v>0</v>
      </c>
      <c r="N5" s="23">
        <f ca="1">IFERROR(__xludf.DUMMYFUNCTION("""COMPUTED_VALUE"""),0)</f>
        <v>0</v>
      </c>
      <c r="O5" s="23">
        <f ca="1">IFERROR(__xludf.DUMMYFUNCTION("""COMPUTED_VALUE"""),0)</f>
        <v>0</v>
      </c>
      <c r="P5" s="23">
        <f ca="1">IFERROR(__xludf.DUMMYFUNCTION("""COMPUTED_VALUE"""),0)</f>
        <v>0</v>
      </c>
      <c r="Q5" s="23">
        <f ca="1">IFERROR(__xludf.DUMMYFUNCTION("""COMPUTED_VALUE"""),0)</f>
        <v>0</v>
      </c>
      <c r="R5" s="23">
        <f ca="1">IFERROR(__xludf.DUMMYFUNCTION("""COMPUTED_VALUE"""),0)</f>
        <v>0</v>
      </c>
      <c r="S5" s="23">
        <f ca="1">IFERROR(__xludf.DUMMYFUNCTION("""COMPUTED_VALUE"""),374)</f>
        <v>374</v>
      </c>
    </row>
    <row r="6" spans="1:19">
      <c r="A6" s="23" t="str">
        <f ca="1">IFERROR(__xludf.DUMMYFUNCTION("""COMPUTED_VALUE"""),"AUTOMOVILES")</f>
        <v>AUTOMOVILES</v>
      </c>
      <c r="B6" s="23">
        <f ca="1">IFERROR(__xludf.DUMMYFUNCTION("""COMPUTED_VALUE"""),1)</f>
        <v>1</v>
      </c>
      <c r="C6" s="23"/>
      <c r="D6" s="23" t="str">
        <f ca="1">IFERROR(__xludf.DUMMYFUNCTION("""COMPUTED_VALUE"""),"ASCENDENTE")</f>
        <v>ASCENDENTE</v>
      </c>
      <c r="E6" s="23" t="str">
        <f ca="1">IFERROR(__xludf.DUMMYFUNCTION("""COMPUTED_VALUE"""),"BITACORA OPERATIVA")</f>
        <v>BITACORA OPERATIVA</v>
      </c>
      <c r="F6" s="23">
        <f ca="1">IFERROR(__xludf.DUMMYFUNCTION("""COMPUTED_VALUE"""),0)</f>
        <v>0</v>
      </c>
      <c r="G6" s="23">
        <f ca="1">IFERROR(__xludf.DUMMYFUNCTION("""COMPUTED_VALUE"""),0)</f>
        <v>0</v>
      </c>
      <c r="H6" s="23">
        <f ca="1">IFERROR(__xludf.DUMMYFUNCTION("""COMPUTED_VALUE"""),0)</f>
        <v>0</v>
      </c>
      <c r="I6" s="23">
        <f ca="1">IFERROR(__xludf.DUMMYFUNCTION("""COMPUTED_VALUE"""),0)</f>
        <v>0</v>
      </c>
      <c r="J6" s="23">
        <f ca="1">IFERROR(__xludf.DUMMYFUNCTION("""COMPUTED_VALUE"""),0)</f>
        <v>0</v>
      </c>
      <c r="K6" s="23">
        <f ca="1">IFERROR(__xludf.DUMMYFUNCTION("""COMPUTED_VALUE"""),0)</f>
        <v>0</v>
      </c>
      <c r="L6" s="23">
        <f ca="1">IFERROR(__xludf.DUMMYFUNCTION("""COMPUTED_VALUE"""),1)</f>
        <v>1</v>
      </c>
      <c r="M6" s="23">
        <f ca="1">IFERROR(__xludf.DUMMYFUNCTION("""COMPUTED_VALUE"""),0)</f>
        <v>0</v>
      </c>
      <c r="N6" s="23">
        <f ca="1">IFERROR(__xludf.DUMMYFUNCTION("""COMPUTED_VALUE"""),0)</f>
        <v>0</v>
      </c>
      <c r="O6" s="23">
        <f ca="1">IFERROR(__xludf.DUMMYFUNCTION("""COMPUTED_VALUE"""),0)</f>
        <v>0</v>
      </c>
      <c r="P6" s="23">
        <f ca="1">IFERROR(__xludf.DUMMYFUNCTION("""COMPUTED_VALUE"""),0)</f>
        <v>0</v>
      </c>
      <c r="Q6" s="23">
        <f ca="1">IFERROR(__xludf.DUMMYFUNCTION("""COMPUTED_VALUE"""),0)</f>
        <v>0</v>
      </c>
      <c r="R6" s="23">
        <f ca="1">IFERROR(__xludf.DUMMYFUNCTION("""COMPUTED_VALUE"""),0)</f>
        <v>0</v>
      </c>
      <c r="S6" s="23">
        <f ca="1">IFERROR(__xludf.DUMMYFUNCTION("""COMPUTED_VALUE"""),1)</f>
        <v>1</v>
      </c>
    </row>
    <row r="7" spans="1:19">
      <c r="A7" s="23" t="str">
        <f ca="1">IFERROR(__xludf.DUMMYFUNCTION("""COMPUTED_VALUE"""),"CAMIONETAS PICK UP")</f>
        <v>CAMIONETAS PICK UP</v>
      </c>
      <c r="B7" s="23">
        <f ca="1">IFERROR(__xludf.DUMMYFUNCTION("""COMPUTED_VALUE"""),1)</f>
        <v>1</v>
      </c>
      <c r="C7" s="23"/>
      <c r="D7" s="23" t="str">
        <f ca="1">IFERROR(__xludf.DUMMYFUNCTION("""COMPUTED_VALUE"""),"ASCENDENTE")</f>
        <v>ASCENDENTE</v>
      </c>
      <c r="E7" s="23" t="str">
        <f ca="1">IFERROR(__xludf.DUMMYFUNCTION("""COMPUTED_VALUE"""),"BITACORA OPERATIVA")</f>
        <v>BITACORA OPERATIVA</v>
      </c>
      <c r="F7" s="23">
        <f ca="1">IFERROR(__xludf.DUMMYFUNCTION("""COMPUTED_VALUE"""),0)</f>
        <v>0</v>
      </c>
      <c r="G7" s="23">
        <f ca="1">IFERROR(__xludf.DUMMYFUNCTION("""COMPUTED_VALUE"""),0)</f>
        <v>0</v>
      </c>
      <c r="H7" s="23">
        <f ca="1">IFERROR(__xludf.DUMMYFUNCTION("""COMPUTED_VALUE"""),0)</f>
        <v>0</v>
      </c>
      <c r="I7" s="23">
        <f ca="1">IFERROR(__xludf.DUMMYFUNCTION("""COMPUTED_VALUE"""),0)</f>
        <v>0</v>
      </c>
      <c r="J7" s="23">
        <f ca="1">IFERROR(__xludf.DUMMYFUNCTION("""COMPUTED_VALUE"""),0)</f>
        <v>0</v>
      </c>
      <c r="K7" s="23">
        <f ca="1">IFERROR(__xludf.DUMMYFUNCTION("""COMPUTED_VALUE"""),2)</f>
        <v>2</v>
      </c>
      <c r="L7" s="23">
        <f ca="1">IFERROR(__xludf.DUMMYFUNCTION("""COMPUTED_VALUE"""),0)</f>
        <v>0</v>
      </c>
      <c r="M7" s="23">
        <f ca="1">IFERROR(__xludf.DUMMYFUNCTION("""COMPUTED_VALUE"""),0)</f>
        <v>0</v>
      </c>
      <c r="N7" s="23">
        <f ca="1">IFERROR(__xludf.DUMMYFUNCTION("""COMPUTED_VALUE"""),0)</f>
        <v>0</v>
      </c>
      <c r="O7" s="23">
        <f ca="1">IFERROR(__xludf.DUMMYFUNCTION("""COMPUTED_VALUE"""),0)</f>
        <v>0</v>
      </c>
      <c r="P7" s="23">
        <f ca="1">IFERROR(__xludf.DUMMYFUNCTION("""COMPUTED_VALUE"""),0)</f>
        <v>0</v>
      </c>
      <c r="Q7" s="23">
        <f ca="1">IFERROR(__xludf.DUMMYFUNCTION("""COMPUTED_VALUE"""),0)</f>
        <v>0</v>
      </c>
      <c r="R7" s="23">
        <f ca="1">IFERROR(__xludf.DUMMYFUNCTION("""COMPUTED_VALUE"""),0)</f>
        <v>0</v>
      </c>
      <c r="S7" s="23">
        <f ca="1">IFERROR(__xludf.DUMMYFUNCTION("""COMPUTED_VALUE"""),2)</f>
        <v>2</v>
      </c>
    </row>
    <row r="8" spans="1:19">
      <c r="A8" s="23" t="str">
        <f ca="1">IFERROR(__xludf.DUMMYFUNCTION("""COMPUTED_VALUE"""),"MOTOCICLETAS")</f>
        <v>MOTOCICLETAS</v>
      </c>
      <c r="B8" s="23">
        <f ca="1">IFERROR(__xludf.DUMMYFUNCTION("""COMPUTED_VALUE"""),1)</f>
        <v>1</v>
      </c>
      <c r="C8" s="23"/>
      <c r="D8" s="23" t="str">
        <f ca="1">IFERROR(__xludf.DUMMYFUNCTION("""COMPUTED_VALUE"""),"ASCENDENTE")</f>
        <v>ASCENDENTE</v>
      </c>
      <c r="E8" s="23" t="str">
        <f ca="1">IFERROR(__xludf.DUMMYFUNCTION("""COMPUTED_VALUE"""),"BITACORA OPERATIVA")</f>
        <v>BITACORA OPERATIVA</v>
      </c>
      <c r="F8" s="23">
        <f ca="1">IFERROR(__xludf.DUMMYFUNCTION("""COMPUTED_VALUE"""),0)</f>
        <v>0</v>
      </c>
      <c r="G8" s="23">
        <f ca="1">IFERROR(__xludf.DUMMYFUNCTION("""COMPUTED_VALUE"""),0)</f>
        <v>0</v>
      </c>
      <c r="H8" s="23">
        <f ca="1">IFERROR(__xludf.DUMMYFUNCTION("""COMPUTED_VALUE"""),0)</f>
        <v>0</v>
      </c>
      <c r="I8" s="23">
        <f ca="1">IFERROR(__xludf.DUMMYFUNCTION("""COMPUTED_VALUE"""),0)</f>
        <v>0</v>
      </c>
      <c r="J8" s="23">
        <f ca="1">IFERROR(__xludf.DUMMYFUNCTION("""COMPUTED_VALUE"""),0)</f>
        <v>0</v>
      </c>
      <c r="K8" s="23">
        <f ca="1">IFERROR(__xludf.DUMMYFUNCTION("""COMPUTED_VALUE"""),0)</f>
        <v>0</v>
      </c>
      <c r="L8" s="23">
        <f ca="1">IFERROR(__xludf.DUMMYFUNCTION("""COMPUTED_VALUE"""),1)</f>
        <v>1</v>
      </c>
      <c r="M8" s="23">
        <f ca="1">IFERROR(__xludf.DUMMYFUNCTION("""COMPUTED_VALUE"""),0)</f>
        <v>0</v>
      </c>
      <c r="N8" s="23">
        <f ca="1">IFERROR(__xludf.DUMMYFUNCTION("""COMPUTED_VALUE"""),0)</f>
        <v>0</v>
      </c>
      <c r="O8" s="23">
        <f ca="1">IFERROR(__xludf.DUMMYFUNCTION("""COMPUTED_VALUE"""),0)</f>
        <v>0</v>
      </c>
      <c r="P8" s="23">
        <f ca="1">IFERROR(__xludf.DUMMYFUNCTION("""COMPUTED_VALUE"""),0)</f>
        <v>0</v>
      </c>
      <c r="Q8" s="23">
        <f ca="1">IFERROR(__xludf.DUMMYFUNCTION("""COMPUTED_VALUE"""),0)</f>
        <v>0</v>
      </c>
      <c r="R8" s="23">
        <f ca="1">IFERROR(__xludf.DUMMYFUNCTION("""COMPUTED_VALUE"""),0)</f>
        <v>0</v>
      </c>
      <c r="S8" s="23">
        <f ca="1">IFERROR(__xludf.DUMMYFUNCTION("""COMPUTED_VALUE"""),1)</f>
        <v>1</v>
      </c>
    </row>
    <row r="9" spans="1:19">
      <c r="A9" s="23" t="str">
        <f ca="1">IFERROR(__xludf.DUMMYFUNCTION("""COMPUTED_VALUE"""),"CAMIONETAS DE CARGA LIVIANA")</f>
        <v>CAMIONETAS DE CARGA LIVIANA</v>
      </c>
      <c r="B9" s="23">
        <f ca="1">IFERROR(__xludf.DUMMYFUNCTION("""COMPUTED_VALUE"""),1)</f>
        <v>1</v>
      </c>
      <c r="C9" s="23"/>
      <c r="D9" s="23" t="str">
        <f ca="1">IFERROR(__xludf.DUMMYFUNCTION("""COMPUTED_VALUE"""),"ASCENDENTE")</f>
        <v>ASCENDENTE</v>
      </c>
      <c r="E9" s="23" t="str">
        <f ca="1">IFERROR(__xludf.DUMMYFUNCTION("""COMPUTED_VALUE"""),"BITACORA OPERATIVA")</f>
        <v>BITACORA OPERATIVA</v>
      </c>
      <c r="F9" s="23">
        <f ca="1">IFERROR(__xludf.DUMMYFUNCTION("""COMPUTED_VALUE"""),0)</f>
        <v>0</v>
      </c>
      <c r="G9" s="23">
        <f ca="1">IFERROR(__xludf.DUMMYFUNCTION("""COMPUTED_VALUE"""),0)</f>
        <v>0</v>
      </c>
      <c r="H9" s="23">
        <f ca="1">IFERROR(__xludf.DUMMYFUNCTION("""COMPUTED_VALUE"""),0)</f>
        <v>0</v>
      </c>
      <c r="I9" s="23">
        <f ca="1">IFERROR(__xludf.DUMMYFUNCTION("""COMPUTED_VALUE"""),0)</f>
        <v>0</v>
      </c>
      <c r="J9" s="23">
        <f ca="1">IFERROR(__xludf.DUMMYFUNCTION("""COMPUTED_VALUE"""),0)</f>
        <v>0</v>
      </c>
      <c r="K9" s="23">
        <f ca="1">IFERROR(__xludf.DUMMYFUNCTION("""COMPUTED_VALUE"""),0)</f>
        <v>0</v>
      </c>
      <c r="L9" s="23">
        <f ca="1">IFERROR(__xludf.DUMMYFUNCTION("""COMPUTED_VALUE"""),0)</f>
        <v>0</v>
      </c>
      <c r="M9" s="23">
        <f ca="1">IFERROR(__xludf.DUMMYFUNCTION("""COMPUTED_VALUE"""),0)</f>
        <v>0</v>
      </c>
      <c r="N9" s="23">
        <f ca="1">IFERROR(__xludf.DUMMYFUNCTION("""COMPUTED_VALUE"""),0)</f>
        <v>0</v>
      </c>
      <c r="O9" s="23">
        <f ca="1">IFERROR(__xludf.DUMMYFUNCTION("""COMPUTED_VALUE"""),0)</f>
        <v>0</v>
      </c>
      <c r="P9" s="23">
        <f ca="1">IFERROR(__xludf.DUMMYFUNCTION("""COMPUTED_VALUE"""),0)</f>
        <v>0</v>
      </c>
      <c r="Q9" s="23">
        <f ca="1">IFERROR(__xludf.DUMMYFUNCTION("""COMPUTED_VALUE"""),0)</f>
        <v>0</v>
      </c>
      <c r="R9" s="23">
        <f ca="1">IFERROR(__xludf.DUMMYFUNCTION("""COMPUTED_VALUE"""),0)</f>
        <v>0</v>
      </c>
      <c r="S9" s="23">
        <f ca="1">IFERROR(__xludf.DUMMYFUNCTION("""COMPUTED_VALUE"""),0)</f>
        <v>0</v>
      </c>
    </row>
    <row r="10" spans="1:19">
      <c r="A10" s="23" t="str">
        <f ca="1">IFERROR(__xludf.DUMMYFUNCTION("""COMPUTED_VALUE"""),"CAMIONES DE CARGA")</f>
        <v>CAMIONES DE CARGA</v>
      </c>
      <c r="B10" s="23">
        <f ca="1">IFERROR(__xludf.DUMMYFUNCTION("""COMPUTED_VALUE"""),1)</f>
        <v>1</v>
      </c>
      <c r="C10" s="23"/>
      <c r="D10" s="23" t="str">
        <f ca="1">IFERROR(__xludf.DUMMYFUNCTION("""COMPUTED_VALUE"""),"ASCENDENTE")</f>
        <v>ASCENDENTE</v>
      </c>
      <c r="E10" s="23" t="str">
        <f ca="1">IFERROR(__xludf.DUMMYFUNCTION("""COMPUTED_VALUE"""),"BITACORA OPERATIVA")</f>
        <v>BITACORA OPERATIVA</v>
      </c>
      <c r="F10" s="23">
        <f ca="1">IFERROR(__xludf.DUMMYFUNCTION("""COMPUTED_VALUE"""),0)</f>
        <v>0</v>
      </c>
      <c r="G10" s="23">
        <f ca="1">IFERROR(__xludf.DUMMYFUNCTION("""COMPUTED_VALUE"""),0)</f>
        <v>0</v>
      </c>
      <c r="H10" s="23">
        <f ca="1">IFERROR(__xludf.DUMMYFUNCTION("""COMPUTED_VALUE"""),0)</f>
        <v>0</v>
      </c>
      <c r="I10" s="23">
        <f ca="1">IFERROR(__xludf.DUMMYFUNCTION("""COMPUTED_VALUE"""),0)</f>
        <v>0</v>
      </c>
      <c r="J10" s="23">
        <f ca="1">IFERROR(__xludf.DUMMYFUNCTION("""COMPUTED_VALUE"""),0)</f>
        <v>0</v>
      </c>
      <c r="K10" s="23">
        <f ca="1">IFERROR(__xludf.DUMMYFUNCTION("""COMPUTED_VALUE"""),0)</f>
        <v>0</v>
      </c>
      <c r="L10" s="23">
        <f ca="1">IFERROR(__xludf.DUMMYFUNCTION("""COMPUTED_VALUE"""),0)</f>
        <v>0</v>
      </c>
      <c r="M10" s="23">
        <f ca="1">IFERROR(__xludf.DUMMYFUNCTION("""COMPUTED_VALUE"""),0)</f>
        <v>0</v>
      </c>
      <c r="N10" s="23">
        <f ca="1">IFERROR(__xludf.DUMMYFUNCTION("""COMPUTED_VALUE"""),0)</f>
        <v>0</v>
      </c>
      <c r="O10" s="23">
        <f ca="1">IFERROR(__xludf.DUMMYFUNCTION("""COMPUTED_VALUE"""),0)</f>
        <v>0</v>
      </c>
      <c r="P10" s="23">
        <f ca="1">IFERROR(__xludf.DUMMYFUNCTION("""COMPUTED_VALUE"""),0)</f>
        <v>0</v>
      </c>
      <c r="Q10" s="23">
        <f ca="1">IFERROR(__xludf.DUMMYFUNCTION("""COMPUTED_VALUE"""),0)</f>
        <v>0</v>
      </c>
      <c r="R10" s="23">
        <f ca="1">IFERROR(__xludf.DUMMYFUNCTION("""COMPUTED_VALUE"""),0)</f>
        <v>0</v>
      </c>
      <c r="S10" s="23">
        <f ca="1">IFERROR(__xludf.DUMMYFUNCTION("""COMPUTED_VALUE"""),0)</f>
        <v>0</v>
      </c>
    </row>
    <row r="11" spans="1:19">
      <c r="A11" s="23" t="str">
        <f ca="1">IFERROR(__xludf.DUMMYFUNCTION("""COMPUTED_VALUE"""),"CAMIONES DE PASAJEROS")</f>
        <v>CAMIONES DE PASAJEROS</v>
      </c>
      <c r="B11" s="23">
        <f ca="1">IFERROR(__xludf.DUMMYFUNCTION("""COMPUTED_VALUE"""),1)</f>
        <v>1</v>
      </c>
      <c r="C11" s="23"/>
      <c r="D11" s="23" t="str">
        <f ca="1">IFERROR(__xludf.DUMMYFUNCTION("""COMPUTED_VALUE"""),"ASCENDENTE")</f>
        <v>ASCENDENTE</v>
      </c>
      <c r="E11" s="23" t="str">
        <f ca="1">IFERROR(__xludf.DUMMYFUNCTION("""COMPUTED_VALUE"""),"BITACORA OPERATIVA")</f>
        <v>BITACORA OPERATIVA</v>
      </c>
      <c r="F11" s="23">
        <f ca="1">IFERROR(__xludf.DUMMYFUNCTION("""COMPUTED_VALUE"""),0)</f>
        <v>0</v>
      </c>
      <c r="G11" s="23">
        <f ca="1">IFERROR(__xludf.DUMMYFUNCTION("""COMPUTED_VALUE"""),0)</f>
        <v>0</v>
      </c>
      <c r="H11" s="23">
        <f ca="1">IFERROR(__xludf.DUMMYFUNCTION("""COMPUTED_VALUE"""),0)</f>
        <v>0</v>
      </c>
      <c r="I11" s="23">
        <f ca="1">IFERROR(__xludf.DUMMYFUNCTION("""COMPUTED_VALUE"""),0)</f>
        <v>0</v>
      </c>
      <c r="J11" s="23">
        <f ca="1">IFERROR(__xludf.DUMMYFUNCTION("""COMPUTED_VALUE"""),0)</f>
        <v>0</v>
      </c>
      <c r="K11" s="23">
        <f ca="1">IFERROR(__xludf.DUMMYFUNCTION("""COMPUTED_VALUE"""),0)</f>
        <v>0</v>
      </c>
      <c r="L11" s="23">
        <f ca="1">IFERROR(__xludf.DUMMYFUNCTION("""COMPUTED_VALUE"""),0)</f>
        <v>0</v>
      </c>
      <c r="M11" s="23">
        <f ca="1">IFERROR(__xludf.DUMMYFUNCTION("""COMPUTED_VALUE"""),0)</f>
        <v>0</v>
      </c>
      <c r="N11" s="23">
        <f ca="1">IFERROR(__xludf.DUMMYFUNCTION("""COMPUTED_VALUE"""),0)</f>
        <v>0</v>
      </c>
      <c r="O11" s="23">
        <f ca="1">IFERROR(__xludf.DUMMYFUNCTION("""COMPUTED_VALUE"""),0)</f>
        <v>0</v>
      </c>
      <c r="P11" s="23">
        <f ca="1">IFERROR(__xludf.DUMMYFUNCTION("""COMPUTED_VALUE"""),0)</f>
        <v>0</v>
      </c>
      <c r="Q11" s="23">
        <f ca="1">IFERROR(__xludf.DUMMYFUNCTION("""COMPUTED_VALUE"""),0)</f>
        <v>0</v>
      </c>
      <c r="R11" s="23">
        <f ca="1">IFERROR(__xludf.DUMMYFUNCTION("""COMPUTED_VALUE"""),0)</f>
        <v>0</v>
      </c>
      <c r="S11" s="23">
        <f ca="1">IFERROR(__xludf.DUMMYFUNCTION("""COMPUTED_VALUE"""),0)</f>
        <v>0</v>
      </c>
    </row>
    <row r="12" spans="1:19">
      <c r="A12" s="23" t="str">
        <f ca="1">IFERROR(__xludf.DUMMYFUNCTION("""COMPUTED_VALUE"""),"MAQUINARIA PESADA")</f>
        <v>MAQUINARIA PESADA</v>
      </c>
      <c r="B12" s="23">
        <f ca="1">IFERROR(__xludf.DUMMYFUNCTION("""COMPUTED_VALUE"""),1)</f>
        <v>1</v>
      </c>
      <c r="C12" s="23"/>
      <c r="D12" s="23" t="str">
        <f ca="1">IFERROR(__xludf.DUMMYFUNCTION("""COMPUTED_VALUE"""),"ASCENDENTE")</f>
        <v>ASCENDENTE</v>
      </c>
      <c r="E12" s="23" t="str">
        <f ca="1">IFERROR(__xludf.DUMMYFUNCTION("""COMPUTED_VALUE"""),"BITACORA OPERATIVA")</f>
        <v>BITACORA OPERATIVA</v>
      </c>
      <c r="F12" s="23">
        <f ca="1">IFERROR(__xludf.DUMMYFUNCTION("""COMPUTED_VALUE"""),0)</f>
        <v>0</v>
      </c>
      <c r="G12" s="23">
        <f ca="1">IFERROR(__xludf.DUMMYFUNCTION("""COMPUTED_VALUE"""),0)</f>
        <v>0</v>
      </c>
      <c r="H12" s="23">
        <f ca="1">IFERROR(__xludf.DUMMYFUNCTION("""COMPUTED_VALUE"""),0)</f>
        <v>0</v>
      </c>
      <c r="I12" s="23">
        <f ca="1">IFERROR(__xludf.DUMMYFUNCTION("""COMPUTED_VALUE"""),0)</f>
        <v>0</v>
      </c>
      <c r="J12" s="23">
        <f ca="1">IFERROR(__xludf.DUMMYFUNCTION("""COMPUTED_VALUE"""),0)</f>
        <v>0</v>
      </c>
      <c r="K12" s="23">
        <f ca="1">IFERROR(__xludf.DUMMYFUNCTION("""COMPUTED_VALUE"""),0)</f>
        <v>0</v>
      </c>
      <c r="L12" s="23">
        <f ca="1">IFERROR(__xludf.DUMMYFUNCTION("""COMPUTED_VALUE"""),0)</f>
        <v>0</v>
      </c>
      <c r="M12" s="23">
        <f ca="1">IFERROR(__xludf.DUMMYFUNCTION("""COMPUTED_VALUE"""),0)</f>
        <v>0</v>
      </c>
      <c r="N12" s="23">
        <f ca="1">IFERROR(__xludf.DUMMYFUNCTION("""COMPUTED_VALUE"""),0)</f>
        <v>0</v>
      </c>
      <c r="O12" s="23">
        <f ca="1">IFERROR(__xludf.DUMMYFUNCTION("""COMPUTED_VALUE"""),0)</f>
        <v>0</v>
      </c>
      <c r="P12" s="23">
        <f ca="1">IFERROR(__xludf.DUMMYFUNCTION("""COMPUTED_VALUE"""),0)</f>
        <v>0</v>
      </c>
      <c r="Q12" s="23">
        <f ca="1">IFERROR(__xludf.DUMMYFUNCTION("""COMPUTED_VALUE"""),0)</f>
        <v>0</v>
      </c>
      <c r="R12" s="23">
        <f ca="1">IFERROR(__xludf.DUMMYFUNCTION("""COMPUTED_VALUE"""),0)</f>
        <v>0</v>
      </c>
      <c r="S12" s="23">
        <f ca="1">IFERROR(__xludf.DUMMYFUNCTION("""COMPUTED_VALUE"""),0)</f>
        <v>0</v>
      </c>
    </row>
    <row r="13" spans="1:19">
      <c r="A13" s="23" t="str">
        <f ca="1">IFERROR(__xludf.DUMMYFUNCTION("""COMPUTED_VALUE"""),"DESINCORPORACIÓN DE VEHÍCULOS DEL PARQUE VEHICULAR")</f>
        <v>DESINCORPORACIÓN DE VEHÍCULOS DEL PARQUE VEHICULAR</v>
      </c>
      <c r="B13" s="23">
        <f ca="1">IFERROR(__xludf.DUMMYFUNCTION("""COMPUTED_VALUE"""),1)</f>
        <v>1</v>
      </c>
      <c r="C13" s="23"/>
      <c r="D13" s="23" t="str">
        <f ca="1">IFERROR(__xludf.DUMMYFUNCTION("""COMPUTED_VALUE"""),"ASCENDENTE")</f>
        <v>ASCENDENTE</v>
      </c>
      <c r="E13" s="23" t="str">
        <f ca="1">IFERROR(__xludf.DUMMYFUNCTION("""COMPUTED_VALUE"""),"BITACORA OPERATIVA")</f>
        <v>BITACORA OPERATIVA</v>
      </c>
      <c r="F13" s="23">
        <f ca="1">IFERROR(__xludf.DUMMYFUNCTION("""COMPUTED_VALUE"""),0)</f>
        <v>0</v>
      </c>
      <c r="G13" s="23">
        <f ca="1">IFERROR(__xludf.DUMMYFUNCTION("""COMPUTED_VALUE"""),0)</f>
        <v>0</v>
      </c>
      <c r="H13" s="23">
        <f ca="1">IFERROR(__xludf.DUMMYFUNCTION("""COMPUTED_VALUE"""),0)</f>
        <v>0</v>
      </c>
      <c r="I13" s="23">
        <f ca="1">IFERROR(__xludf.DUMMYFUNCTION("""COMPUTED_VALUE"""),0)</f>
        <v>0</v>
      </c>
      <c r="J13" s="23">
        <f ca="1">IFERROR(__xludf.DUMMYFUNCTION("""COMPUTED_VALUE"""),0)</f>
        <v>0</v>
      </c>
      <c r="K13" s="23">
        <f ca="1">IFERROR(__xludf.DUMMYFUNCTION("""COMPUTED_VALUE"""),0)</f>
        <v>0</v>
      </c>
      <c r="L13" s="23">
        <f ca="1">IFERROR(__xludf.DUMMYFUNCTION("""COMPUTED_VALUE"""),0)</f>
        <v>0</v>
      </c>
      <c r="M13" s="23">
        <f ca="1">IFERROR(__xludf.DUMMYFUNCTION("""COMPUTED_VALUE"""),0)</f>
        <v>0</v>
      </c>
      <c r="N13" s="23">
        <f ca="1">IFERROR(__xludf.DUMMYFUNCTION("""COMPUTED_VALUE"""),0)</f>
        <v>0</v>
      </c>
      <c r="O13" s="23">
        <f ca="1">IFERROR(__xludf.DUMMYFUNCTION("""COMPUTED_VALUE"""),0)</f>
        <v>0</v>
      </c>
      <c r="P13" s="23">
        <f ca="1">IFERROR(__xludf.DUMMYFUNCTION("""COMPUTED_VALUE"""),0)</f>
        <v>0</v>
      </c>
      <c r="Q13" s="23">
        <f ca="1">IFERROR(__xludf.DUMMYFUNCTION("""COMPUTED_VALUE"""),0)</f>
        <v>0</v>
      </c>
      <c r="R13" s="23">
        <f ca="1">IFERROR(__xludf.DUMMYFUNCTION("""COMPUTED_VALUE"""),0)</f>
        <v>0</v>
      </c>
      <c r="S13" s="23">
        <f ca="1">IFERROR(__xludf.DUMMYFUNCTION("""COMPUTED_VALUE"""),0)</f>
        <v>0</v>
      </c>
    </row>
    <row r="14" spans="1:19">
      <c r="A14" s="23" t="str">
        <f ca="1">IFERROR(__xludf.DUMMYFUNCTION("""COMPUTED_VALUE"""),"RESGUARDOS DE VEHICULOS")</f>
        <v>RESGUARDOS DE VEHICULOS</v>
      </c>
      <c r="B14" s="23">
        <f ca="1">IFERROR(__xludf.DUMMYFUNCTION("""COMPUTED_VALUE"""),1)</f>
        <v>1</v>
      </c>
      <c r="C14" s="23"/>
      <c r="D14" s="23" t="str">
        <f ca="1">IFERROR(__xludf.DUMMYFUNCTION("""COMPUTED_VALUE"""),"ASCENDENTE")</f>
        <v>ASCENDENTE</v>
      </c>
      <c r="E14" s="23" t="str">
        <f ca="1">IFERROR(__xludf.DUMMYFUNCTION("""COMPUTED_VALUE"""),"BITACORA OPERATIVA")</f>
        <v>BITACORA OPERATIVA</v>
      </c>
      <c r="F14" s="23">
        <f ca="1">IFERROR(__xludf.DUMMYFUNCTION("""COMPUTED_VALUE"""),0)</f>
        <v>0</v>
      </c>
      <c r="G14" s="23">
        <f ca="1">IFERROR(__xludf.DUMMYFUNCTION("""COMPUTED_VALUE"""),0)</f>
        <v>0</v>
      </c>
      <c r="H14" s="23">
        <f ca="1">IFERROR(__xludf.DUMMYFUNCTION("""COMPUTED_VALUE"""),0)</f>
        <v>0</v>
      </c>
      <c r="I14" s="23">
        <f ca="1">IFERROR(__xludf.DUMMYFUNCTION("""COMPUTED_VALUE"""),0)</f>
        <v>0</v>
      </c>
      <c r="J14" s="23">
        <f ca="1">IFERROR(__xludf.DUMMYFUNCTION("""COMPUTED_VALUE"""),5)</f>
        <v>5</v>
      </c>
      <c r="K14" s="23">
        <f ca="1">IFERROR(__xludf.DUMMYFUNCTION("""COMPUTED_VALUE"""),20)</f>
        <v>20</v>
      </c>
      <c r="L14" s="23">
        <f ca="1">IFERROR(__xludf.DUMMYFUNCTION("""COMPUTED_VALUE"""),6)</f>
        <v>6</v>
      </c>
      <c r="M14" s="23">
        <f ca="1">IFERROR(__xludf.DUMMYFUNCTION("""COMPUTED_VALUE"""),0)</f>
        <v>0</v>
      </c>
      <c r="N14" s="23">
        <f ca="1">IFERROR(__xludf.DUMMYFUNCTION("""COMPUTED_VALUE"""),0)</f>
        <v>0</v>
      </c>
      <c r="O14" s="23">
        <f ca="1">IFERROR(__xludf.DUMMYFUNCTION("""COMPUTED_VALUE"""),0)</f>
        <v>0</v>
      </c>
      <c r="P14" s="23">
        <f ca="1">IFERROR(__xludf.DUMMYFUNCTION("""COMPUTED_VALUE"""),0)</f>
        <v>0</v>
      </c>
      <c r="Q14" s="23">
        <f ca="1">IFERROR(__xludf.DUMMYFUNCTION("""COMPUTED_VALUE"""),0)</f>
        <v>0</v>
      </c>
      <c r="R14" s="23">
        <f ca="1">IFERROR(__xludf.DUMMYFUNCTION("""COMPUTED_VALUE"""),0)</f>
        <v>0</v>
      </c>
      <c r="S14" s="23">
        <f ca="1">IFERROR(__xludf.DUMMYFUNCTION("""COMPUTED_VALUE"""),31)</f>
        <v>31</v>
      </c>
    </row>
    <row r="15" spans="1:19">
      <c r="A15" s="23" t="str">
        <f ca="1">IFERROR(__xludf.DUMMYFUNCTION("""COMPUTED_VALUE"""),"REFRENDOS ANUALES")</f>
        <v>REFRENDOS ANUALES</v>
      </c>
      <c r="B15" s="23">
        <f ca="1">IFERROR(__xludf.DUMMYFUNCTION("""COMPUTED_VALUE"""),1)</f>
        <v>1</v>
      </c>
      <c r="C15" s="23"/>
      <c r="D15" s="23" t="str">
        <f ca="1">IFERROR(__xludf.DUMMYFUNCTION("""COMPUTED_VALUE"""),"ASCENDENTE")</f>
        <v>ASCENDENTE</v>
      </c>
      <c r="E15" s="23" t="str">
        <f ca="1">IFERROR(__xludf.DUMMYFUNCTION("""COMPUTED_VALUE"""),"BITACORA OPERATIVA")</f>
        <v>BITACORA OPERATIVA</v>
      </c>
      <c r="F15" s="23">
        <f ca="1">IFERROR(__xludf.DUMMYFUNCTION("""COMPUTED_VALUE"""),0)</f>
        <v>0</v>
      </c>
      <c r="G15" s="23">
        <f ca="1">IFERROR(__xludf.DUMMYFUNCTION("""COMPUTED_VALUE"""),0)</f>
        <v>0</v>
      </c>
      <c r="H15" s="23">
        <f ca="1">IFERROR(__xludf.DUMMYFUNCTION("""COMPUTED_VALUE"""),0)</f>
        <v>0</v>
      </c>
      <c r="I15" s="23">
        <f ca="1">IFERROR(__xludf.DUMMYFUNCTION("""COMPUTED_VALUE"""),0)</f>
        <v>0</v>
      </c>
      <c r="J15" s="23">
        <f ca="1">IFERROR(__xludf.DUMMYFUNCTION("""COMPUTED_VALUE"""),0)</f>
        <v>0</v>
      </c>
      <c r="K15" s="23">
        <f ca="1">IFERROR(__xludf.DUMMYFUNCTION("""COMPUTED_VALUE"""),0)</f>
        <v>0</v>
      </c>
      <c r="L15" s="23">
        <f ca="1">IFERROR(__xludf.DUMMYFUNCTION("""COMPUTED_VALUE"""),202)</f>
        <v>202</v>
      </c>
      <c r="M15" s="23">
        <f ca="1">IFERROR(__xludf.DUMMYFUNCTION("""COMPUTED_VALUE"""),0)</f>
        <v>0</v>
      </c>
      <c r="N15" s="23">
        <f ca="1">IFERROR(__xludf.DUMMYFUNCTION("""COMPUTED_VALUE"""),0)</f>
        <v>0</v>
      </c>
      <c r="O15" s="23">
        <f ca="1">IFERROR(__xludf.DUMMYFUNCTION("""COMPUTED_VALUE"""),0)</f>
        <v>0</v>
      </c>
      <c r="P15" s="23">
        <f ca="1">IFERROR(__xludf.DUMMYFUNCTION("""COMPUTED_VALUE"""),0)</f>
        <v>0</v>
      </c>
      <c r="Q15" s="23">
        <f ca="1">IFERROR(__xludf.DUMMYFUNCTION("""COMPUTED_VALUE"""),0)</f>
        <v>0</v>
      </c>
      <c r="R15" s="23">
        <f ca="1">IFERROR(__xludf.DUMMYFUNCTION("""COMPUTED_VALUE"""),0)</f>
        <v>0</v>
      </c>
      <c r="S15" s="23">
        <f ca="1">IFERROR(__xludf.DUMMYFUNCTION("""COMPUTED_VALUE"""),202)</f>
        <v>202</v>
      </c>
    </row>
    <row r="16" spans="1:19">
      <c r="A16" s="23" t="str">
        <f ca="1">IFERROR(__xludf.DUMMYFUNCTION("""COMPUTED_VALUE"""),"CONTROL Y PAGO DE INFRACCIONES")</f>
        <v>CONTROL Y PAGO DE INFRACCIONES</v>
      </c>
      <c r="B16" s="23">
        <f ca="1">IFERROR(__xludf.DUMMYFUNCTION("""COMPUTED_VALUE"""),1)</f>
        <v>1</v>
      </c>
      <c r="C16" s="23"/>
      <c r="D16" s="23" t="str">
        <f ca="1">IFERROR(__xludf.DUMMYFUNCTION("""COMPUTED_VALUE"""),"ASCENDENTE")</f>
        <v>ASCENDENTE</v>
      </c>
      <c r="E16" s="23" t="str">
        <f ca="1">IFERROR(__xludf.DUMMYFUNCTION("""COMPUTED_VALUE"""),"BITACORA OPERATIVA")</f>
        <v>BITACORA OPERATIVA</v>
      </c>
      <c r="F16" s="23">
        <f ca="1">IFERROR(__xludf.DUMMYFUNCTION("""COMPUTED_VALUE"""),0)</f>
        <v>0</v>
      </c>
      <c r="G16" s="23">
        <f ca="1">IFERROR(__xludf.DUMMYFUNCTION("""COMPUTED_VALUE"""),0)</f>
        <v>0</v>
      </c>
      <c r="H16" s="23">
        <f ca="1">IFERROR(__xludf.DUMMYFUNCTION("""COMPUTED_VALUE"""),0)</f>
        <v>0</v>
      </c>
      <c r="I16" s="23">
        <f ca="1">IFERROR(__xludf.DUMMYFUNCTION("""COMPUTED_VALUE"""),0)</f>
        <v>0</v>
      </c>
      <c r="J16" s="23">
        <f ca="1">IFERROR(__xludf.DUMMYFUNCTION("""COMPUTED_VALUE"""),0)</f>
        <v>0</v>
      </c>
      <c r="K16" s="23">
        <f ca="1">IFERROR(__xludf.DUMMYFUNCTION("""COMPUTED_VALUE"""),0)</f>
        <v>0</v>
      </c>
      <c r="L16" s="23">
        <f ca="1">IFERROR(__xludf.DUMMYFUNCTION("""COMPUTED_VALUE"""),0)</f>
        <v>0</v>
      </c>
      <c r="M16" s="23">
        <f ca="1">IFERROR(__xludf.DUMMYFUNCTION("""COMPUTED_VALUE"""),0)</f>
        <v>0</v>
      </c>
      <c r="N16" s="23">
        <f ca="1">IFERROR(__xludf.DUMMYFUNCTION("""COMPUTED_VALUE"""),0)</f>
        <v>0</v>
      </c>
      <c r="O16" s="23">
        <f ca="1">IFERROR(__xludf.DUMMYFUNCTION("""COMPUTED_VALUE"""),0)</f>
        <v>0</v>
      </c>
      <c r="P16" s="23">
        <f ca="1">IFERROR(__xludf.DUMMYFUNCTION("""COMPUTED_VALUE"""),0)</f>
        <v>0</v>
      </c>
      <c r="Q16" s="23">
        <f ca="1">IFERROR(__xludf.DUMMYFUNCTION("""COMPUTED_VALUE"""),0)</f>
        <v>0</v>
      </c>
      <c r="R16" s="23">
        <f ca="1">IFERROR(__xludf.DUMMYFUNCTION("""COMPUTED_VALUE"""),0)</f>
        <v>0</v>
      </c>
      <c r="S16" s="23">
        <f ca="1">IFERROR(__xludf.DUMMYFUNCTION("""COMPUTED_VALUE"""),0)</f>
        <v>0</v>
      </c>
    </row>
    <row r="17" spans="1:19">
      <c r="A17" s="23" t="str">
        <f ca="1">IFERROR(__xludf.DUMMYFUNCTION("""COMPUTED_VALUE"""),"POLIZAS DE SEGURO")</f>
        <v>POLIZAS DE SEGURO</v>
      </c>
      <c r="B17" s="23">
        <f ca="1">IFERROR(__xludf.DUMMYFUNCTION("""COMPUTED_VALUE"""),1)</f>
        <v>1</v>
      </c>
      <c r="C17" s="23"/>
      <c r="D17" s="23" t="str">
        <f ca="1">IFERROR(__xludf.DUMMYFUNCTION("""COMPUTED_VALUE"""),"ASCENDENTE")</f>
        <v>ASCENDENTE</v>
      </c>
      <c r="E17" s="23" t="str">
        <f ca="1">IFERROR(__xludf.DUMMYFUNCTION("""COMPUTED_VALUE"""),"BITACORA OPERATIVA")</f>
        <v>BITACORA OPERATIVA</v>
      </c>
      <c r="F17" s="23">
        <f ca="1">IFERROR(__xludf.DUMMYFUNCTION("""COMPUTED_VALUE"""),0)</f>
        <v>0</v>
      </c>
      <c r="G17" s="23">
        <f ca="1">IFERROR(__xludf.DUMMYFUNCTION("""COMPUTED_VALUE"""),0)</f>
        <v>0</v>
      </c>
      <c r="H17" s="23">
        <f ca="1">IFERROR(__xludf.DUMMYFUNCTION("""COMPUTED_VALUE"""),0)</f>
        <v>0</v>
      </c>
      <c r="I17" s="23">
        <f ca="1">IFERROR(__xludf.DUMMYFUNCTION("""COMPUTED_VALUE"""),0)</f>
        <v>0</v>
      </c>
      <c r="J17" s="23">
        <f ca="1">IFERROR(__xludf.DUMMYFUNCTION("""COMPUTED_VALUE"""),33)</f>
        <v>33</v>
      </c>
      <c r="K17" s="23">
        <f ca="1">IFERROR(__xludf.DUMMYFUNCTION("""COMPUTED_VALUE"""),97)</f>
        <v>97</v>
      </c>
      <c r="L17" s="23">
        <f ca="1">IFERROR(__xludf.DUMMYFUNCTION("""COMPUTED_VALUE"""),52)</f>
        <v>52</v>
      </c>
      <c r="M17" s="23">
        <f ca="1">IFERROR(__xludf.DUMMYFUNCTION("""COMPUTED_VALUE"""),0)</f>
        <v>0</v>
      </c>
      <c r="N17" s="23">
        <f ca="1">IFERROR(__xludf.DUMMYFUNCTION("""COMPUTED_VALUE"""),0)</f>
        <v>0</v>
      </c>
      <c r="O17" s="23">
        <f ca="1">IFERROR(__xludf.DUMMYFUNCTION("""COMPUTED_VALUE"""),0)</f>
        <v>0</v>
      </c>
      <c r="P17" s="23">
        <f ca="1">IFERROR(__xludf.DUMMYFUNCTION("""COMPUTED_VALUE"""),0)</f>
        <v>0</v>
      </c>
      <c r="Q17" s="23">
        <f ca="1">IFERROR(__xludf.DUMMYFUNCTION("""COMPUTED_VALUE"""),0)</f>
        <v>0</v>
      </c>
      <c r="R17" s="23">
        <f ca="1">IFERROR(__xludf.DUMMYFUNCTION("""COMPUTED_VALUE"""),0)</f>
        <v>0</v>
      </c>
      <c r="S17" s="23">
        <f ca="1">IFERROR(__xludf.DUMMYFUNCTION("""COMPUTED_VALUE"""),182)</f>
        <v>182</v>
      </c>
    </row>
    <row r="18" spans="1:19">
      <c r="A18" s="23" t="str">
        <f ca="1">IFERROR(__xludf.DUMMYFUNCTION("""COMPUTED_VALUE"""),"INVENTARIO DE BIENES MUEBLES")</f>
        <v>INVENTARIO DE BIENES MUEBLES</v>
      </c>
      <c r="B18" s="23">
        <f ca="1">IFERROR(__xludf.DUMMYFUNCTION("""COMPUTED_VALUE"""),1)</f>
        <v>1</v>
      </c>
      <c r="C18" s="23"/>
      <c r="D18" s="23" t="str">
        <f ca="1">IFERROR(__xludf.DUMMYFUNCTION("""COMPUTED_VALUE"""),"ASCENDENTE")</f>
        <v>ASCENDENTE</v>
      </c>
      <c r="E18" s="23" t="str">
        <f ca="1">IFERROR(__xludf.DUMMYFUNCTION("""COMPUTED_VALUE"""),"BITACORA OPERATIVA")</f>
        <v>BITACORA OPERATIVA</v>
      </c>
      <c r="F18" s="23">
        <f ca="1">IFERROR(__xludf.DUMMYFUNCTION("""COMPUTED_VALUE"""),0)</f>
        <v>0</v>
      </c>
      <c r="G18" s="23">
        <f ca="1">IFERROR(__xludf.DUMMYFUNCTION("""COMPUTED_VALUE"""),0)</f>
        <v>0</v>
      </c>
      <c r="H18" s="23">
        <f ca="1">IFERROR(__xludf.DUMMYFUNCTION("""COMPUTED_VALUE"""),0)</f>
        <v>0</v>
      </c>
      <c r="I18" s="23">
        <f ca="1">IFERROR(__xludf.DUMMYFUNCTION("""COMPUTED_VALUE"""),0)</f>
        <v>0</v>
      </c>
      <c r="J18" s="23">
        <f ca="1">IFERROR(__xludf.DUMMYFUNCTION("""COMPUTED_VALUE"""),0)</f>
        <v>0</v>
      </c>
      <c r="K18" s="23">
        <f ca="1">IFERROR(__xludf.DUMMYFUNCTION("""COMPUTED_VALUE"""),0)</f>
        <v>0</v>
      </c>
      <c r="L18" s="23">
        <f ca="1">IFERROR(__xludf.DUMMYFUNCTION("""COMPUTED_VALUE"""),0)</f>
        <v>0</v>
      </c>
      <c r="M18" s="23">
        <f ca="1">IFERROR(__xludf.DUMMYFUNCTION("""COMPUTED_VALUE"""),0)</f>
        <v>0</v>
      </c>
      <c r="N18" s="23">
        <f ca="1">IFERROR(__xludf.DUMMYFUNCTION("""COMPUTED_VALUE"""),0)</f>
        <v>0</v>
      </c>
      <c r="O18" s="23">
        <f ca="1">IFERROR(__xludf.DUMMYFUNCTION("""COMPUTED_VALUE"""),0)</f>
        <v>0</v>
      </c>
      <c r="P18" s="23">
        <f ca="1">IFERROR(__xludf.DUMMYFUNCTION("""COMPUTED_VALUE"""),0)</f>
        <v>0</v>
      </c>
      <c r="Q18" s="23">
        <f ca="1">IFERROR(__xludf.DUMMYFUNCTION("""COMPUTED_VALUE"""),0)</f>
        <v>0</v>
      </c>
      <c r="R18" s="23">
        <f ca="1">IFERROR(__xludf.DUMMYFUNCTION("""COMPUTED_VALUE"""),0)</f>
        <v>0</v>
      </c>
      <c r="S18" s="23">
        <f ca="1">IFERROR(__xludf.DUMMYFUNCTION("""COMPUTED_VALUE"""),0)</f>
        <v>0</v>
      </c>
    </row>
    <row r="19" spans="1:19">
      <c r="A19" s="23" t="str">
        <f ca="1">IFERROR(__xludf.DUMMYFUNCTION("""COMPUTED_VALUE"""),"DESINCORPORACIÓN DE BIENES MUEBLES")</f>
        <v>DESINCORPORACIÓN DE BIENES MUEBLES</v>
      </c>
      <c r="B19" s="23">
        <f ca="1">IFERROR(__xludf.DUMMYFUNCTION("""COMPUTED_VALUE"""),1)</f>
        <v>1</v>
      </c>
      <c r="C19" s="23"/>
      <c r="D19" s="23" t="str">
        <f ca="1">IFERROR(__xludf.DUMMYFUNCTION("""COMPUTED_VALUE"""),"ASCENDENTE")</f>
        <v>ASCENDENTE</v>
      </c>
      <c r="E19" s="23" t="str">
        <f ca="1">IFERROR(__xludf.DUMMYFUNCTION("""COMPUTED_VALUE"""),"BITACORA OPERATIVA")</f>
        <v>BITACORA OPERATIVA</v>
      </c>
      <c r="F19" s="23">
        <f ca="1">IFERROR(__xludf.DUMMYFUNCTION("""COMPUTED_VALUE"""),0)</f>
        <v>0</v>
      </c>
      <c r="G19" s="23">
        <f ca="1">IFERROR(__xludf.DUMMYFUNCTION("""COMPUTED_VALUE"""),0)</f>
        <v>0</v>
      </c>
      <c r="H19" s="23">
        <f ca="1">IFERROR(__xludf.DUMMYFUNCTION("""COMPUTED_VALUE"""),0)</f>
        <v>0</v>
      </c>
      <c r="I19" s="23">
        <f ca="1">IFERROR(__xludf.DUMMYFUNCTION("""COMPUTED_VALUE"""),0)</f>
        <v>0</v>
      </c>
      <c r="J19" s="23">
        <f ca="1">IFERROR(__xludf.DUMMYFUNCTION("""COMPUTED_VALUE"""),1)</f>
        <v>1</v>
      </c>
      <c r="K19" s="23">
        <f ca="1">IFERROR(__xludf.DUMMYFUNCTION("""COMPUTED_VALUE"""),0)</f>
        <v>0</v>
      </c>
      <c r="L19" s="23">
        <f ca="1">IFERROR(__xludf.DUMMYFUNCTION("""COMPUTED_VALUE"""),0)</f>
        <v>0</v>
      </c>
      <c r="M19" s="23">
        <f ca="1">IFERROR(__xludf.DUMMYFUNCTION("""COMPUTED_VALUE"""),0)</f>
        <v>0</v>
      </c>
      <c r="N19" s="23">
        <f ca="1">IFERROR(__xludf.DUMMYFUNCTION("""COMPUTED_VALUE"""),0)</f>
        <v>0</v>
      </c>
      <c r="O19" s="23">
        <f ca="1">IFERROR(__xludf.DUMMYFUNCTION("""COMPUTED_VALUE"""),0)</f>
        <v>0</v>
      </c>
      <c r="P19" s="23">
        <f ca="1">IFERROR(__xludf.DUMMYFUNCTION("""COMPUTED_VALUE"""),0)</f>
        <v>0</v>
      </c>
      <c r="Q19" s="23">
        <f ca="1">IFERROR(__xludf.DUMMYFUNCTION("""COMPUTED_VALUE"""),0)</f>
        <v>0</v>
      </c>
      <c r="R19" s="23">
        <f ca="1">IFERROR(__xludf.DUMMYFUNCTION("""COMPUTED_VALUE"""),0)</f>
        <v>0</v>
      </c>
      <c r="S19" s="23">
        <f ca="1">IFERROR(__xludf.DUMMYFUNCTION("""COMPUTED_VALUE"""),1)</f>
        <v>1</v>
      </c>
    </row>
    <row r="20" spans="1:19">
      <c r="A20" s="23" t="str">
        <f ca="1">IFERROR(__xludf.DUMMYFUNCTION("""COMPUTED_VALUE"""),"INVENTARIO DE BIENES INMUEBLES")</f>
        <v>INVENTARIO DE BIENES INMUEBLES</v>
      </c>
      <c r="B20" s="23">
        <f ca="1">IFERROR(__xludf.DUMMYFUNCTION("""COMPUTED_VALUE"""),1)</f>
        <v>1</v>
      </c>
      <c r="C20" s="23"/>
      <c r="D20" s="23" t="str">
        <f ca="1">IFERROR(__xludf.DUMMYFUNCTION("""COMPUTED_VALUE"""),"ASCENDENTE")</f>
        <v>ASCENDENTE</v>
      </c>
      <c r="E20" s="23" t="str">
        <f ca="1">IFERROR(__xludf.DUMMYFUNCTION("""COMPUTED_VALUE"""),"BITACORA OPERATIVA")</f>
        <v>BITACORA OPERATIVA</v>
      </c>
      <c r="F20" s="23">
        <f ca="1">IFERROR(__xludf.DUMMYFUNCTION("""COMPUTED_VALUE"""),0)</f>
        <v>0</v>
      </c>
      <c r="G20" s="23">
        <f ca="1">IFERROR(__xludf.DUMMYFUNCTION("""COMPUTED_VALUE"""),0)</f>
        <v>0</v>
      </c>
      <c r="H20" s="23">
        <f ca="1">IFERROR(__xludf.DUMMYFUNCTION("""COMPUTED_VALUE"""),0)</f>
        <v>0</v>
      </c>
      <c r="I20" s="23">
        <f ca="1">IFERROR(__xludf.DUMMYFUNCTION("""COMPUTED_VALUE"""),0)</f>
        <v>0</v>
      </c>
      <c r="J20" s="23">
        <f ca="1">IFERROR(__xludf.DUMMYFUNCTION("""COMPUTED_VALUE"""),0)</f>
        <v>0</v>
      </c>
      <c r="K20" s="23">
        <f ca="1">IFERROR(__xludf.DUMMYFUNCTION("""COMPUTED_VALUE"""),0)</f>
        <v>0</v>
      </c>
      <c r="L20" s="23">
        <f ca="1">IFERROR(__xludf.DUMMYFUNCTION("""COMPUTED_VALUE"""),0)</f>
        <v>0</v>
      </c>
      <c r="M20" s="23">
        <f ca="1">IFERROR(__xludf.DUMMYFUNCTION("""COMPUTED_VALUE"""),0)</f>
        <v>0</v>
      </c>
      <c r="N20" s="23">
        <f ca="1">IFERROR(__xludf.DUMMYFUNCTION("""COMPUTED_VALUE"""),0)</f>
        <v>0</v>
      </c>
      <c r="O20" s="23">
        <f ca="1">IFERROR(__xludf.DUMMYFUNCTION("""COMPUTED_VALUE"""),0)</f>
        <v>0</v>
      </c>
      <c r="P20" s="23">
        <f ca="1">IFERROR(__xludf.DUMMYFUNCTION("""COMPUTED_VALUE"""),0)</f>
        <v>0</v>
      </c>
      <c r="Q20" s="23">
        <f ca="1">IFERROR(__xludf.DUMMYFUNCTION("""COMPUTED_VALUE"""),0)</f>
        <v>0</v>
      </c>
      <c r="R20" s="23">
        <f ca="1">IFERROR(__xludf.DUMMYFUNCTION("""COMPUTED_VALUE"""),0)</f>
        <v>0</v>
      </c>
      <c r="S20" s="23">
        <f ca="1">IFERROR(__xludf.DUMMYFUNCTION("""COMPUTED_VALUE"""),0)</f>
        <v>0</v>
      </c>
    </row>
    <row r="21" spans="1:19">
      <c r="A21" s="23" t="str">
        <f ca="1">IFERROR(__xludf.DUMMYFUNCTION("""COMPUTED_VALUE"""),"DESINCORPORACIÓN DE BIENES  INMUEBLES")</f>
        <v>DESINCORPORACIÓN DE BIENES  INMUEBLES</v>
      </c>
      <c r="B21" s="23">
        <f ca="1">IFERROR(__xludf.DUMMYFUNCTION("""COMPUTED_VALUE"""),1)</f>
        <v>1</v>
      </c>
      <c r="C21" s="23"/>
      <c r="D21" s="23" t="str">
        <f ca="1">IFERROR(__xludf.DUMMYFUNCTION("""COMPUTED_VALUE"""),"ASCENDENTE")</f>
        <v>ASCENDENTE</v>
      </c>
      <c r="E21" s="23" t="str">
        <f ca="1">IFERROR(__xludf.DUMMYFUNCTION("""COMPUTED_VALUE"""),"BITACORA OPERATIVA")</f>
        <v>BITACORA OPERATIVA</v>
      </c>
      <c r="F21" s="23">
        <f ca="1">IFERROR(__xludf.DUMMYFUNCTION("""COMPUTED_VALUE"""),0)</f>
        <v>0</v>
      </c>
      <c r="G21" s="23">
        <f ca="1">IFERROR(__xludf.DUMMYFUNCTION("""COMPUTED_VALUE"""),0)</f>
        <v>0</v>
      </c>
      <c r="H21" s="23">
        <f ca="1">IFERROR(__xludf.DUMMYFUNCTION("""COMPUTED_VALUE"""),0)</f>
        <v>0</v>
      </c>
      <c r="I21" s="23">
        <f ca="1">IFERROR(__xludf.DUMMYFUNCTION("""COMPUTED_VALUE"""),0)</f>
        <v>0</v>
      </c>
      <c r="J21" s="23">
        <f ca="1">IFERROR(__xludf.DUMMYFUNCTION("""COMPUTED_VALUE"""),1)</f>
        <v>1</v>
      </c>
      <c r="K21" s="23">
        <f ca="1">IFERROR(__xludf.DUMMYFUNCTION("""COMPUTED_VALUE"""),0)</f>
        <v>0</v>
      </c>
      <c r="L21" s="23">
        <f ca="1">IFERROR(__xludf.DUMMYFUNCTION("""COMPUTED_VALUE"""),0)</f>
        <v>0</v>
      </c>
      <c r="M21" s="23">
        <f ca="1">IFERROR(__xludf.DUMMYFUNCTION("""COMPUTED_VALUE"""),0)</f>
        <v>0</v>
      </c>
      <c r="N21" s="23">
        <f ca="1">IFERROR(__xludf.DUMMYFUNCTION("""COMPUTED_VALUE"""),0)</f>
        <v>0</v>
      </c>
      <c r="O21" s="23">
        <f ca="1">IFERROR(__xludf.DUMMYFUNCTION("""COMPUTED_VALUE"""),0)</f>
        <v>0</v>
      </c>
      <c r="P21" s="23">
        <f ca="1">IFERROR(__xludf.DUMMYFUNCTION("""COMPUTED_VALUE"""),0)</f>
        <v>0</v>
      </c>
      <c r="Q21" s="23">
        <f ca="1">IFERROR(__xludf.DUMMYFUNCTION("""COMPUTED_VALUE"""),0)</f>
        <v>0</v>
      </c>
      <c r="R21" s="23">
        <f ca="1">IFERROR(__xludf.DUMMYFUNCTION("""COMPUTED_VALUE"""),0)</f>
        <v>0</v>
      </c>
      <c r="S21" s="23">
        <f ca="1">IFERROR(__xludf.DUMMYFUNCTION("""COMPUTED_VALUE"""),1)</f>
        <v>1</v>
      </c>
    </row>
    <row r="22" spans="1:19">
      <c r="A22" s="23" t="str">
        <f ca="1">IFERROR(__xludf.DUMMYFUNCTION("""COMPUTED_VALUE"""),"TELEFONOS MOVILES ")</f>
        <v xml:space="preserve">TELEFONOS MOVILES </v>
      </c>
      <c r="B22" s="23">
        <f ca="1">IFERROR(__xludf.DUMMYFUNCTION("""COMPUTED_VALUE"""),1)</f>
        <v>1</v>
      </c>
      <c r="C22" s="23"/>
      <c r="D22" s="23" t="str">
        <f ca="1">IFERROR(__xludf.DUMMYFUNCTION("""COMPUTED_VALUE"""),"ASCENDENTE")</f>
        <v>ASCENDENTE</v>
      </c>
      <c r="E22" s="23" t="str">
        <f ca="1">IFERROR(__xludf.DUMMYFUNCTION("""COMPUTED_VALUE"""),"BITACORA OPERATIVA")</f>
        <v>BITACORA OPERATIVA</v>
      </c>
      <c r="F22" s="23">
        <f ca="1">IFERROR(__xludf.DUMMYFUNCTION("""COMPUTED_VALUE"""),0)</f>
        <v>0</v>
      </c>
      <c r="G22" s="23">
        <f ca="1">IFERROR(__xludf.DUMMYFUNCTION("""COMPUTED_VALUE"""),0)</f>
        <v>0</v>
      </c>
      <c r="H22" s="23">
        <f ca="1">IFERROR(__xludf.DUMMYFUNCTION("""COMPUTED_VALUE"""),0)</f>
        <v>0</v>
      </c>
      <c r="I22" s="23">
        <f ca="1">IFERROR(__xludf.DUMMYFUNCTION("""COMPUTED_VALUE"""),0)</f>
        <v>0</v>
      </c>
      <c r="J22" s="23">
        <f ca="1">IFERROR(__xludf.DUMMYFUNCTION("""COMPUTED_VALUE"""),0)</f>
        <v>0</v>
      </c>
      <c r="K22" s="23">
        <f ca="1">IFERROR(__xludf.DUMMYFUNCTION("""COMPUTED_VALUE"""),0)</f>
        <v>0</v>
      </c>
      <c r="L22" s="23">
        <f ca="1">IFERROR(__xludf.DUMMYFUNCTION("""COMPUTED_VALUE"""),0)</f>
        <v>0</v>
      </c>
      <c r="M22" s="23">
        <f ca="1">IFERROR(__xludf.DUMMYFUNCTION("""COMPUTED_VALUE"""),0)</f>
        <v>0</v>
      </c>
      <c r="N22" s="23">
        <f ca="1">IFERROR(__xludf.DUMMYFUNCTION("""COMPUTED_VALUE"""),0)</f>
        <v>0</v>
      </c>
      <c r="O22" s="23">
        <f ca="1">IFERROR(__xludf.DUMMYFUNCTION("""COMPUTED_VALUE"""),0)</f>
        <v>0</v>
      </c>
      <c r="P22" s="23">
        <f ca="1">IFERROR(__xludf.DUMMYFUNCTION("""COMPUTED_VALUE"""),0)</f>
        <v>0</v>
      </c>
      <c r="Q22" s="23">
        <f ca="1">IFERROR(__xludf.DUMMYFUNCTION("""COMPUTED_VALUE"""),0)</f>
        <v>0</v>
      </c>
      <c r="R22" s="23">
        <f ca="1">IFERROR(__xludf.DUMMYFUNCTION("""COMPUTED_VALUE"""),0)</f>
        <v>0</v>
      </c>
      <c r="S22" s="23">
        <f ca="1">IFERROR(__xludf.DUMMYFUNCTION("""COMPUTED_VALUE"""),0)</f>
        <v>0</v>
      </c>
    </row>
    <row r="23" spans="1:19">
      <c r="A23" s="23" t="str">
        <f ca="1">IFERROR(__xludf.DUMMYFUNCTION("""COMPUTED_VALUE"""),"VERIFICACION VEHICULAR")</f>
        <v>VERIFICACION VEHICULAR</v>
      </c>
      <c r="B23" s="23">
        <f ca="1">IFERROR(__xludf.DUMMYFUNCTION("""COMPUTED_VALUE"""),1)</f>
        <v>1</v>
      </c>
      <c r="C23" s="23"/>
      <c r="D23" s="23" t="str">
        <f ca="1">IFERROR(__xludf.DUMMYFUNCTION("""COMPUTED_VALUE"""),"ASCENDENTE")</f>
        <v>ASCENDENTE</v>
      </c>
      <c r="E23" s="23" t="str">
        <f ca="1">IFERROR(__xludf.DUMMYFUNCTION("""COMPUTED_VALUE"""),"BITACORA OPERATIVA")</f>
        <v>BITACORA OPERATIVA</v>
      </c>
      <c r="F23" s="23">
        <f ca="1">IFERROR(__xludf.DUMMYFUNCTION("""COMPUTED_VALUE"""),0)</f>
        <v>0</v>
      </c>
      <c r="G23" s="23">
        <f ca="1">IFERROR(__xludf.DUMMYFUNCTION("""COMPUTED_VALUE"""),0)</f>
        <v>0</v>
      </c>
      <c r="H23" s="23">
        <f ca="1">IFERROR(__xludf.DUMMYFUNCTION("""COMPUTED_VALUE"""),0)</f>
        <v>0</v>
      </c>
      <c r="I23" s="23">
        <f ca="1">IFERROR(__xludf.DUMMYFUNCTION("""COMPUTED_VALUE"""),0)</f>
        <v>0</v>
      </c>
      <c r="J23" s="23">
        <f ca="1">IFERROR(__xludf.DUMMYFUNCTION("""COMPUTED_VALUE"""),23)</f>
        <v>23</v>
      </c>
      <c r="K23" s="23">
        <f ca="1">IFERROR(__xludf.DUMMYFUNCTION("""COMPUTED_VALUE"""),0)</f>
        <v>0</v>
      </c>
      <c r="L23" s="23">
        <f ca="1">IFERROR(__xludf.DUMMYFUNCTION("""COMPUTED_VALUE"""),1)</f>
        <v>1</v>
      </c>
      <c r="M23" s="23">
        <f ca="1">IFERROR(__xludf.DUMMYFUNCTION("""COMPUTED_VALUE"""),0)</f>
        <v>0</v>
      </c>
      <c r="N23" s="23">
        <f ca="1">IFERROR(__xludf.DUMMYFUNCTION("""COMPUTED_VALUE"""),0)</f>
        <v>0</v>
      </c>
      <c r="O23" s="23">
        <f ca="1">IFERROR(__xludf.DUMMYFUNCTION("""COMPUTED_VALUE"""),0)</f>
        <v>0</v>
      </c>
      <c r="P23" s="23">
        <f ca="1">IFERROR(__xludf.DUMMYFUNCTION("""COMPUTED_VALUE"""),0)</f>
        <v>0</v>
      </c>
      <c r="Q23" s="23">
        <f ca="1">IFERROR(__xludf.DUMMYFUNCTION("""COMPUTED_VALUE"""),0)</f>
        <v>0</v>
      </c>
      <c r="R23" s="23">
        <f ca="1">IFERROR(__xludf.DUMMYFUNCTION("""COMPUTED_VALUE"""),0)</f>
        <v>0</v>
      </c>
      <c r="S23" s="23">
        <f ca="1">IFERROR(__xludf.DUMMYFUNCTION("""COMPUTED_VALUE"""),24)</f>
        <v>24</v>
      </c>
    </row>
    <row r="24" spans="1:19">
      <c r="A24" s="23" t="str">
        <f ca="1">IFERROR(__xludf.DUMMYFUNCTION("""COMPUTED_VALUE"""),"RADIOS DE COMUNICACIÓN")</f>
        <v>RADIOS DE COMUNICACIÓN</v>
      </c>
      <c r="B24" s="23">
        <f ca="1">IFERROR(__xludf.DUMMYFUNCTION("""COMPUTED_VALUE"""),1)</f>
        <v>1</v>
      </c>
      <c r="C24" s="23"/>
      <c r="D24" s="23" t="str">
        <f ca="1">IFERROR(__xludf.DUMMYFUNCTION("""COMPUTED_VALUE"""),"ASCENDENTE")</f>
        <v>ASCENDENTE</v>
      </c>
      <c r="E24" s="23" t="str">
        <f ca="1">IFERROR(__xludf.DUMMYFUNCTION("""COMPUTED_VALUE"""),"BITACORA OPERATIVA")</f>
        <v>BITACORA OPERATIVA</v>
      </c>
      <c r="F24" s="23">
        <f ca="1">IFERROR(__xludf.DUMMYFUNCTION("""COMPUTED_VALUE"""),0)</f>
        <v>0</v>
      </c>
      <c r="G24" s="23">
        <f ca="1">IFERROR(__xludf.DUMMYFUNCTION("""COMPUTED_VALUE"""),0)</f>
        <v>0</v>
      </c>
      <c r="H24" s="23">
        <f ca="1">IFERROR(__xludf.DUMMYFUNCTION("""COMPUTED_VALUE"""),0)</f>
        <v>0</v>
      </c>
      <c r="I24" s="23">
        <f ca="1">IFERROR(__xludf.DUMMYFUNCTION("""COMPUTED_VALUE"""),0)</f>
        <v>0</v>
      </c>
      <c r="J24" s="23">
        <f ca="1">IFERROR(__xludf.DUMMYFUNCTION("""COMPUTED_VALUE"""),50)</f>
        <v>50</v>
      </c>
      <c r="K24" s="23">
        <f ca="1">IFERROR(__xludf.DUMMYFUNCTION("""COMPUTED_VALUE"""),0)</f>
        <v>0</v>
      </c>
      <c r="L24" s="23">
        <f ca="1">IFERROR(__xludf.DUMMYFUNCTION("""COMPUTED_VALUE"""),0)</f>
        <v>0</v>
      </c>
      <c r="M24" s="23">
        <f ca="1">IFERROR(__xludf.DUMMYFUNCTION("""COMPUTED_VALUE"""),0)</f>
        <v>0</v>
      </c>
      <c r="N24" s="23">
        <f ca="1">IFERROR(__xludf.DUMMYFUNCTION("""COMPUTED_VALUE"""),0)</f>
        <v>0</v>
      </c>
      <c r="O24" s="23">
        <f ca="1">IFERROR(__xludf.DUMMYFUNCTION("""COMPUTED_VALUE"""),0)</f>
        <v>0</v>
      </c>
      <c r="P24" s="23">
        <f ca="1">IFERROR(__xludf.DUMMYFUNCTION("""COMPUTED_VALUE"""),0)</f>
        <v>0</v>
      </c>
      <c r="Q24" s="23">
        <f ca="1">IFERROR(__xludf.DUMMYFUNCTION("""COMPUTED_VALUE"""),0)</f>
        <v>0</v>
      </c>
      <c r="R24" s="23">
        <f ca="1">IFERROR(__xludf.DUMMYFUNCTION("""COMPUTED_VALUE"""),0)</f>
        <v>0</v>
      </c>
      <c r="S24" s="23">
        <f ca="1">IFERROR(__xludf.DUMMYFUNCTION("""COMPUTED_VALUE"""),50)</f>
        <v>50</v>
      </c>
    </row>
    <row r="25" spans="1:19">
      <c r="A25" s="23" t="str">
        <f ca="1">IFERROR(__xludf.DUMMYFUNCTION("""COMPUTED_VALUE"""),"TOTAL DE PLANTILLA DE PERSONAL")</f>
        <v>TOTAL DE PLANTILLA DE PERSONAL</v>
      </c>
      <c r="B25" s="23">
        <f ca="1">IFERROR(__xludf.DUMMYFUNCTION("""COMPUTED_VALUE"""),1)</f>
        <v>1</v>
      </c>
      <c r="C25" s="23"/>
      <c r="D25" s="23" t="str">
        <f ca="1">IFERROR(__xludf.DUMMYFUNCTION("""COMPUTED_VALUE"""),"ASCENDENTE")</f>
        <v>ASCENDENTE</v>
      </c>
      <c r="E25" s="23" t="str">
        <f ca="1">IFERROR(__xludf.DUMMYFUNCTION("""COMPUTED_VALUE"""),"BITACORA OPERATIVA")</f>
        <v>BITACORA OPERATIVA</v>
      </c>
      <c r="F25" s="23">
        <f ca="1">IFERROR(__xludf.DUMMYFUNCTION("""COMPUTED_VALUE"""),0)</f>
        <v>0</v>
      </c>
      <c r="G25" s="23">
        <f ca="1">IFERROR(__xludf.DUMMYFUNCTION("""COMPUTED_VALUE"""),0)</f>
        <v>0</v>
      </c>
      <c r="H25" s="23">
        <f ca="1">IFERROR(__xludf.DUMMYFUNCTION("""COMPUTED_VALUE"""),0)</f>
        <v>0</v>
      </c>
      <c r="I25" s="23">
        <f ca="1">IFERROR(__xludf.DUMMYFUNCTION("""COMPUTED_VALUE"""),0)</f>
        <v>0</v>
      </c>
      <c r="J25" s="23">
        <f ca="1">IFERROR(__xludf.DUMMYFUNCTION("""COMPUTED_VALUE"""),0)</f>
        <v>0</v>
      </c>
      <c r="K25" s="23">
        <f ca="1">IFERROR(__xludf.DUMMYFUNCTION("""COMPUTED_VALUE"""),757)</f>
        <v>757</v>
      </c>
      <c r="L25" s="23">
        <f ca="1">IFERROR(__xludf.DUMMYFUNCTION("""COMPUTED_VALUE"""),761)</f>
        <v>761</v>
      </c>
      <c r="M25" s="23">
        <f ca="1">IFERROR(__xludf.DUMMYFUNCTION("""COMPUTED_VALUE"""),0)</f>
        <v>0</v>
      </c>
      <c r="N25" s="23">
        <f ca="1">IFERROR(__xludf.DUMMYFUNCTION("""COMPUTED_VALUE"""),0)</f>
        <v>0</v>
      </c>
      <c r="O25" s="23">
        <f ca="1">IFERROR(__xludf.DUMMYFUNCTION("""COMPUTED_VALUE"""),0)</f>
        <v>0</v>
      </c>
      <c r="P25" s="23">
        <f ca="1">IFERROR(__xludf.DUMMYFUNCTION("""COMPUTED_VALUE"""),0)</f>
        <v>0</v>
      </c>
      <c r="Q25" s="23">
        <f ca="1">IFERROR(__xludf.DUMMYFUNCTION("""COMPUTED_VALUE"""),0)</f>
        <v>0</v>
      </c>
      <c r="R25" s="23">
        <f ca="1">IFERROR(__xludf.DUMMYFUNCTION("""COMPUTED_VALUE"""),0)</f>
        <v>0</v>
      </c>
      <c r="S25" s="23">
        <f ca="1">IFERROR(__xludf.DUMMYFUNCTION("""COMPUTED_VALUE"""),1518)</f>
        <v>1518</v>
      </c>
    </row>
    <row r="26" spans="1:19">
      <c r="A26" s="23" t="str">
        <f ca="1">IFERROR(__xludf.DUMMYFUNCTION("""COMPUTED_VALUE"""),"HOMBRES")</f>
        <v>HOMBRES</v>
      </c>
      <c r="B26" s="23">
        <f ca="1">IFERROR(__xludf.DUMMYFUNCTION("""COMPUTED_VALUE"""),1)</f>
        <v>1</v>
      </c>
      <c r="C26" s="23"/>
      <c r="D26" s="23" t="str">
        <f ca="1">IFERROR(__xludf.DUMMYFUNCTION("""COMPUTED_VALUE"""),"ASCENDENTE")</f>
        <v>ASCENDENTE</v>
      </c>
      <c r="E26" s="23" t="str">
        <f ca="1">IFERROR(__xludf.DUMMYFUNCTION("""COMPUTED_VALUE"""),"BITACORA OPERATIVA")</f>
        <v>BITACORA OPERATIVA</v>
      </c>
      <c r="F26" s="23">
        <f ca="1">IFERROR(__xludf.DUMMYFUNCTION("""COMPUTED_VALUE"""),0)</f>
        <v>0</v>
      </c>
      <c r="G26" s="23">
        <f ca="1">IFERROR(__xludf.DUMMYFUNCTION("""COMPUTED_VALUE"""),0)</f>
        <v>0</v>
      </c>
      <c r="H26" s="23">
        <f ca="1">IFERROR(__xludf.DUMMYFUNCTION("""COMPUTED_VALUE"""),0)</f>
        <v>0</v>
      </c>
      <c r="I26" s="23">
        <f ca="1">IFERROR(__xludf.DUMMYFUNCTION("""COMPUTED_VALUE"""),0)</f>
        <v>0</v>
      </c>
      <c r="J26" s="23">
        <f ca="1">IFERROR(__xludf.DUMMYFUNCTION("""COMPUTED_VALUE"""),0)</f>
        <v>0</v>
      </c>
      <c r="K26" s="23">
        <f ca="1">IFERROR(__xludf.DUMMYFUNCTION("""COMPUTED_VALUE"""),519)</f>
        <v>519</v>
      </c>
      <c r="L26" s="23">
        <f ca="1">IFERROR(__xludf.DUMMYFUNCTION("""COMPUTED_VALUE"""),524)</f>
        <v>524</v>
      </c>
      <c r="M26" s="23">
        <f ca="1">IFERROR(__xludf.DUMMYFUNCTION("""COMPUTED_VALUE"""),0)</f>
        <v>0</v>
      </c>
      <c r="N26" s="23">
        <f ca="1">IFERROR(__xludf.DUMMYFUNCTION("""COMPUTED_VALUE"""),0)</f>
        <v>0</v>
      </c>
      <c r="O26" s="23">
        <f ca="1">IFERROR(__xludf.DUMMYFUNCTION("""COMPUTED_VALUE"""),0)</f>
        <v>0</v>
      </c>
      <c r="P26" s="23">
        <f ca="1">IFERROR(__xludf.DUMMYFUNCTION("""COMPUTED_VALUE"""),0)</f>
        <v>0</v>
      </c>
      <c r="Q26" s="23">
        <f ca="1">IFERROR(__xludf.DUMMYFUNCTION("""COMPUTED_VALUE"""),0)</f>
        <v>0</v>
      </c>
      <c r="R26" s="23">
        <f ca="1">IFERROR(__xludf.DUMMYFUNCTION("""COMPUTED_VALUE"""),0)</f>
        <v>0</v>
      </c>
      <c r="S26" s="23">
        <f ca="1">IFERROR(__xludf.DUMMYFUNCTION("""COMPUTED_VALUE"""),1043)</f>
        <v>1043</v>
      </c>
    </row>
    <row r="27" spans="1:19">
      <c r="A27" s="23" t="str">
        <f ca="1">IFERROR(__xludf.DUMMYFUNCTION("""COMPUTED_VALUE"""),"MUJERES")</f>
        <v>MUJERES</v>
      </c>
      <c r="B27" s="23">
        <f ca="1">IFERROR(__xludf.DUMMYFUNCTION("""COMPUTED_VALUE"""),1)</f>
        <v>1</v>
      </c>
      <c r="C27" s="23"/>
      <c r="D27" s="23" t="str">
        <f ca="1">IFERROR(__xludf.DUMMYFUNCTION("""COMPUTED_VALUE"""),"ASCENDENTE")</f>
        <v>ASCENDENTE</v>
      </c>
      <c r="E27" s="23" t="str">
        <f ca="1">IFERROR(__xludf.DUMMYFUNCTION("""COMPUTED_VALUE"""),"BITACORA OPERATIVA")</f>
        <v>BITACORA OPERATIVA</v>
      </c>
      <c r="F27" s="23">
        <f ca="1">IFERROR(__xludf.DUMMYFUNCTION("""COMPUTED_VALUE"""),0)</f>
        <v>0</v>
      </c>
      <c r="G27" s="23">
        <f ca="1">IFERROR(__xludf.DUMMYFUNCTION("""COMPUTED_VALUE"""),0)</f>
        <v>0</v>
      </c>
      <c r="H27" s="23">
        <f ca="1">IFERROR(__xludf.DUMMYFUNCTION("""COMPUTED_VALUE"""),0)</f>
        <v>0</v>
      </c>
      <c r="I27" s="23">
        <f ca="1">IFERROR(__xludf.DUMMYFUNCTION("""COMPUTED_VALUE"""),0)</f>
        <v>0</v>
      </c>
      <c r="J27" s="23">
        <f ca="1">IFERROR(__xludf.DUMMYFUNCTION("""COMPUTED_VALUE"""),0)</f>
        <v>0</v>
      </c>
      <c r="K27" s="23">
        <f ca="1">IFERROR(__xludf.DUMMYFUNCTION("""COMPUTED_VALUE"""),238)</f>
        <v>238</v>
      </c>
      <c r="L27" s="23">
        <f ca="1">IFERROR(__xludf.DUMMYFUNCTION("""COMPUTED_VALUE"""),237)</f>
        <v>237</v>
      </c>
      <c r="M27" s="23">
        <f ca="1">IFERROR(__xludf.DUMMYFUNCTION("""COMPUTED_VALUE"""),0)</f>
        <v>0</v>
      </c>
      <c r="N27" s="23">
        <f ca="1">IFERROR(__xludf.DUMMYFUNCTION("""COMPUTED_VALUE"""),0)</f>
        <v>0</v>
      </c>
      <c r="O27" s="23">
        <f ca="1">IFERROR(__xludf.DUMMYFUNCTION("""COMPUTED_VALUE"""),0)</f>
        <v>0</v>
      </c>
      <c r="P27" s="23">
        <f ca="1">IFERROR(__xludf.DUMMYFUNCTION("""COMPUTED_VALUE"""),0)</f>
        <v>0</v>
      </c>
      <c r="Q27" s="23">
        <f ca="1">IFERROR(__xludf.DUMMYFUNCTION("""COMPUTED_VALUE"""),0)</f>
        <v>0</v>
      </c>
      <c r="R27" s="23">
        <f ca="1">IFERROR(__xludf.DUMMYFUNCTION("""COMPUTED_VALUE"""),0)</f>
        <v>0</v>
      </c>
      <c r="S27" s="23">
        <f ca="1">IFERROR(__xludf.DUMMYFUNCTION("""COMPUTED_VALUE"""),475)</f>
        <v>475</v>
      </c>
    </row>
    <row r="28" spans="1:19">
      <c r="A28" s="23" t="str">
        <f ca="1">IFERROR(__xludf.DUMMYFUNCTION("""COMPUTED_VALUE"""),"ALTAS DE PERSONAL")</f>
        <v>ALTAS DE PERSONAL</v>
      </c>
      <c r="B28" s="23">
        <f ca="1">IFERROR(__xludf.DUMMYFUNCTION("""COMPUTED_VALUE"""),1)</f>
        <v>1</v>
      </c>
      <c r="C28" s="23"/>
      <c r="D28" s="23" t="str">
        <f ca="1">IFERROR(__xludf.DUMMYFUNCTION("""COMPUTED_VALUE"""),"ASCENDENTE")</f>
        <v>ASCENDENTE</v>
      </c>
      <c r="E28" s="23" t="str">
        <f ca="1">IFERROR(__xludf.DUMMYFUNCTION("""COMPUTED_VALUE"""),"BITACORA OPERATIVA")</f>
        <v>BITACORA OPERATIVA</v>
      </c>
      <c r="F28" s="23">
        <f ca="1">IFERROR(__xludf.DUMMYFUNCTION("""COMPUTED_VALUE"""),0)</f>
        <v>0</v>
      </c>
      <c r="G28" s="23">
        <f ca="1">IFERROR(__xludf.DUMMYFUNCTION("""COMPUTED_VALUE"""),0)</f>
        <v>0</v>
      </c>
      <c r="H28" s="23">
        <f ca="1">IFERROR(__xludf.DUMMYFUNCTION("""COMPUTED_VALUE"""),0)</f>
        <v>0</v>
      </c>
      <c r="I28" s="23">
        <f ca="1">IFERROR(__xludf.DUMMYFUNCTION("""COMPUTED_VALUE"""),0)</f>
        <v>0</v>
      </c>
      <c r="J28" s="23">
        <f ca="1">IFERROR(__xludf.DUMMYFUNCTION("""COMPUTED_VALUE"""),0)</f>
        <v>0</v>
      </c>
      <c r="K28" s="23">
        <f ca="1">IFERROR(__xludf.DUMMYFUNCTION("""COMPUTED_VALUE"""),26)</f>
        <v>26</v>
      </c>
      <c r="L28" s="23">
        <f ca="1">IFERROR(__xludf.DUMMYFUNCTION("""COMPUTED_VALUE"""),22)</f>
        <v>22</v>
      </c>
      <c r="M28" s="23">
        <f ca="1">IFERROR(__xludf.DUMMYFUNCTION("""COMPUTED_VALUE"""),0)</f>
        <v>0</v>
      </c>
      <c r="N28" s="23">
        <f ca="1">IFERROR(__xludf.DUMMYFUNCTION("""COMPUTED_VALUE"""),0)</f>
        <v>0</v>
      </c>
      <c r="O28" s="23">
        <f ca="1">IFERROR(__xludf.DUMMYFUNCTION("""COMPUTED_VALUE"""),0)</f>
        <v>0</v>
      </c>
      <c r="P28" s="23">
        <f ca="1">IFERROR(__xludf.DUMMYFUNCTION("""COMPUTED_VALUE"""),0)</f>
        <v>0</v>
      </c>
      <c r="Q28" s="23">
        <f ca="1">IFERROR(__xludf.DUMMYFUNCTION("""COMPUTED_VALUE"""),0)</f>
        <v>0</v>
      </c>
      <c r="R28" s="23">
        <f ca="1">IFERROR(__xludf.DUMMYFUNCTION("""COMPUTED_VALUE"""),0)</f>
        <v>0</v>
      </c>
      <c r="S28" s="23">
        <f ca="1">IFERROR(__xludf.DUMMYFUNCTION("""COMPUTED_VALUE"""),48)</f>
        <v>48</v>
      </c>
    </row>
    <row r="29" spans="1:19">
      <c r="A29" s="23" t="str">
        <f ca="1">IFERROR(__xludf.DUMMYFUNCTION("""COMPUTED_VALUE"""),"BAJAS DE PERSONAL")</f>
        <v>BAJAS DE PERSONAL</v>
      </c>
      <c r="B29" s="23">
        <f ca="1">IFERROR(__xludf.DUMMYFUNCTION("""COMPUTED_VALUE"""),1)</f>
        <v>1</v>
      </c>
      <c r="C29" s="23"/>
      <c r="D29" s="23" t="str">
        <f ca="1">IFERROR(__xludf.DUMMYFUNCTION("""COMPUTED_VALUE"""),"ASCENDENTE")</f>
        <v>ASCENDENTE</v>
      </c>
      <c r="E29" s="23" t="str">
        <f ca="1">IFERROR(__xludf.DUMMYFUNCTION("""COMPUTED_VALUE"""),"BITACORA OPERATIVA")</f>
        <v>BITACORA OPERATIVA</v>
      </c>
      <c r="F29" s="23">
        <f ca="1">IFERROR(__xludf.DUMMYFUNCTION("""COMPUTED_VALUE"""),0)</f>
        <v>0</v>
      </c>
      <c r="G29" s="23">
        <f ca="1">IFERROR(__xludf.DUMMYFUNCTION("""COMPUTED_VALUE"""),0)</f>
        <v>0</v>
      </c>
      <c r="H29" s="23">
        <f ca="1">IFERROR(__xludf.DUMMYFUNCTION("""COMPUTED_VALUE"""),0)</f>
        <v>0</v>
      </c>
      <c r="I29" s="23">
        <f ca="1">IFERROR(__xludf.DUMMYFUNCTION("""COMPUTED_VALUE"""),0)</f>
        <v>0</v>
      </c>
      <c r="J29" s="23">
        <f ca="1">IFERROR(__xludf.DUMMYFUNCTION("""COMPUTED_VALUE"""),0)</f>
        <v>0</v>
      </c>
      <c r="K29" s="23">
        <f ca="1">IFERROR(__xludf.DUMMYFUNCTION("""COMPUTED_VALUE"""),12)</f>
        <v>12</v>
      </c>
      <c r="L29" s="23">
        <f ca="1">IFERROR(__xludf.DUMMYFUNCTION("""COMPUTED_VALUE"""),12)</f>
        <v>12</v>
      </c>
      <c r="M29" s="23">
        <f ca="1">IFERROR(__xludf.DUMMYFUNCTION("""COMPUTED_VALUE"""),0)</f>
        <v>0</v>
      </c>
      <c r="N29" s="23">
        <f ca="1">IFERROR(__xludf.DUMMYFUNCTION("""COMPUTED_VALUE"""),0)</f>
        <v>0</v>
      </c>
      <c r="O29" s="23">
        <f ca="1">IFERROR(__xludf.DUMMYFUNCTION("""COMPUTED_VALUE"""),0)</f>
        <v>0</v>
      </c>
      <c r="P29" s="23">
        <f ca="1">IFERROR(__xludf.DUMMYFUNCTION("""COMPUTED_VALUE"""),0)</f>
        <v>0</v>
      </c>
      <c r="Q29" s="23">
        <f ca="1">IFERROR(__xludf.DUMMYFUNCTION("""COMPUTED_VALUE"""),0)</f>
        <v>0</v>
      </c>
      <c r="R29" s="23">
        <f ca="1">IFERROR(__xludf.DUMMYFUNCTION("""COMPUTED_VALUE"""),0)</f>
        <v>0</v>
      </c>
      <c r="S29" s="23">
        <f ca="1">IFERROR(__xludf.DUMMYFUNCTION("""COMPUTED_VALUE"""),24)</f>
        <v>24</v>
      </c>
    </row>
    <row r="30" spans="1:19">
      <c r="A30" s="23" t="str">
        <f ca="1">IFERROR(__xludf.DUMMYFUNCTION("""COMPUTED_VALUE"""),"AUSENTISMO (PERSONAS)")</f>
        <v>AUSENTISMO (PERSONAS)</v>
      </c>
      <c r="B30" s="23">
        <f ca="1">IFERROR(__xludf.DUMMYFUNCTION("""COMPUTED_VALUE"""),1)</f>
        <v>1</v>
      </c>
      <c r="C30" s="23"/>
      <c r="D30" s="23" t="str">
        <f ca="1">IFERROR(__xludf.DUMMYFUNCTION("""COMPUTED_VALUE"""),"ASCENDENTE")</f>
        <v>ASCENDENTE</v>
      </c>
      <c r="E30" s="23" t="str">
        <f ca="1">IFERROR(__xludf.DUMMYFUNCTION("""COMPUTED_VALUE"""),"BITACORA OPERATIVA")</f>
        <v>BITACORA OPERATIVA</v>
      </c>
      <c r="F30" s="23">
        <f ca="1">IFERROR(__xludf.DUMMYFUNCTION("""COMPUTED_VALUE"""),0)</f>
        <v>0</v>
      </c>
      <c r="G30" s="23">
        <f ca="1">IFERROR(__xludf.DUMMYFUNCTION("""COMPUTED_VALUE"""),0)</f>
        <v>0</v>
      </c>
      <c r="H30" s="23">
        <f ca="1">IFERROR(__xludf.DUMMYFUNCTION("""COMPUTED_VALUE"""),0)</f>
        <v>0</v>
      </c>
      <c r="I30" s="23">
        <f ca="1">IFERROR(__xludf.DUMMYFUNCTION("""COMPUTED_VALUE"""),0)</f>
        <v>0</v>
      </c>
      <c r="J30" s="23">
        <f ca="1">IFERROR(__xludf.DUMMYFUNCTION("""COMPUTED_VALUE"""),0)</f>
        <v>0</v>
      </c>
      <c r="K30" s="23">
        <f ca="1">IFERROR(__xludf.DUMMYFUNCTION("""COMPUTED_VALUE"""),18)</f>
        <v>18</v>
      </c>
      <c r="L30" s="23">
        <f ca="1">IFERROR(__xludf.DUMMYFUNCTION("""COMPUTED_VALUE"""),15)</f>
        <v>15</v>
      </c>
      <c r="M30" s="23">
        <f ca="1">IFERROR(__xludf.DUMMYFUNCTION("""COMPUTED_VALUE"""),0)</f>
        <v>0</v>
      </c>
      <c r="N30" s="23">
        <f ca="1">IFERROR(__xludf.DUMMYFUNCTION("""COMPUTED_VALUE"""),0)</f>
        <v>0</v>
      </c>
      <c r="O30" s="23">
        <f ca="1">IFERROR(__xludf.DUMMYFUNCTION("""COMPUTED_VALUE"""),0)</f>
        <v>0</v>
      </c>
      <c r="P30" s="23">
        <f ca="1">IFERROR(__xludf.DUMMYFUNCTION("""COMPUTED_VALUE"""),0)</f>
        <v>0</v>
      </c>
      <c r="Q30" s="23">
        <f ca="1">IFERROR(__xludf.DUMMYFUNCTION("""COMPUTED_VALUE"""),0)</f>
        <v>0</v>
      </c>
      <c r="R30" s="23">
        <f ca="1">IFERROR(__xludf.DUMMYFUNCTION("""COMPUTED_VALUE"""),0)</f>
        <v>0</v>
      </c>
      <c r="S30" s="23">
        <f ca="1">IFERROR(__xludf.DUMMYFUNCTION("""COMPUTED_VALUE"""),33)</f>
        <v>33</v>
      </c>
    </row>
    <row r="31" spans="1:19">
      <c r="A31" s="23" t="str">
        <f ca="1">IFERROR(__xludf.DUMMYFUNCTION("""COMPUTED_VALUE"""),"JUBILADOS")</f>
        <v>JUBILADOS</v>
      </c>
      <c r="B31" s="23">
        <f ca="1">IFERROR(__xludf.DUMMYFUNCTION("""COMPUTED_VALUE"""),1)</f>
        <v>1</v>
      </c>
      <c r="C31" s="23"/>
      <c r="D31" s="23" t="str">
        <f ca="1">IFERROR(__xludf.DUMMYFUNCTION("""COMPUTED_VALUE"""),"ASCENDENTE")</f>
        <v>ASCENDENTE</v>
      </c>
      <c r="E31" s="23" t="str">
        <f ca="1">IFERROR(__xludf.DUMMYFUNCTION("""COMPUTED_VALUE"""),"BITACORA OPERATIVA")</f>
        <v>BITACORA OPERATIVA</v>
      </c>
      <c r="F31" s="23">
        <f ca="1">IFERROR(__xludf.DUMMYFUNCTION("""COMPUTED_VALUE"""),0)</f>
        <v>0</v>
      </c>
      <c r="G31" s="23">
        <f ca="1">IFERROR(__xludf.DUMMYFUNCTION("""COMPUTED_VALUE"""),0)</f>
        <v>0</v>
      </c>
      <c r="H31" s="23">
        <f ca="1">IFERROR(__xludf.DUMMYFUNCTION("""COMPUTED_VALUE"""),0)</f>
        <v>0</v>
      </c>
      <c r="I31" s="23">
        <f ca="1">IFERROR(__xludf.DUMMYFUNCTION("""COMPUTED_VALUE"""),0)</f>
        <v>0</v>
      </c>
      <c r="J31" s="23">
        <f ca="1">IFERROR(__xludf.DUMMYFUNCTION("""COMPUTED_VALUE"""),0)</f>
        <v>0</v>
      </c>
      <c r="K31" s="23">
        <f ca="1">IFERROR(__xludf.DUMMYFUNCTION("""COMPUTED_VALUE"""),18)</f>
        <v>18</v>
      </c>
      <c r="L31" s="23">
        <f ca="1">IFERROR(__xludf.DUMMYFUNCTION("""COMPUTED_VALUE"""),18)</f>
        <v>18</v>
      </c>
      <c r="M31" s="23">
        <f ca="1">IFERROR(__xludf.DUMMYFUNCTION("""COMPUTED_VALUE"""),0)</f>
        <v>0</v>
      </c>
      <c r="N31" s="23">
        <f ca="1">IFERROR(__xludf.DUMMYFUNCTION("""COMPUTED_VALUE"""),0)</f>
        <v>0</v>
      </c>
      <c r="O31" s="23">
        <f ca="1">IFERROR(__xludf.DUMMYFUNCTION("""COMPUTED_VALUE"""),0)</f>
        <v>0</v>
      </c>
      <c r="P31" s="23">
        <f ca="1">IFERROR(__xludf.DUMMYFUNCTION("""COMPUTED_VALUE"""),0)</f>
        <v>0</v>
      </c>
      <c r="Q31" s="23">
        <f ca="1">IFERROR(__xludf.DUMMYFUNCTION("""COMPUTED_VALUE"""),0)</f>
        <v>0</v>
      </c>
      <c r="R31" s="23">
        <f ca="1">IFERROR(__xludf.DUMMYFUNCTION("""COMPUTED_VALUE"""),0)</f>
        <v>0</v>
      </c>
      <c r="S31" s="23">
        <f ca="1">IFERROR(__xludf.DUMMYFUNCTION("""COMPUTED_VALUE"""),36)</f>
        <v>36</v>
      </c>
    </row>
    <row r="32" spans="1:19">
      <c r="A32" s="23" t="str">
        <f ca="1">IFERROR(__xludf.DUMMYFUNCTION("""COMPUTED_VALUE"""),"HOMBRES")</f>
        <v>HOMBRES</v>
      </c>
      <c r="B32" s="23">
        <f ca="1">IFERROR(__xludf.DUMMYFUNCTION("""COMPUTED_VALUE"""),1)</f>
        <v>1</v>
      </c>
      <c r="C32" s="23"/>
      <c r="D32" s="23" t="str">
        <f ca="1">IFERROR(__xludf.DUMMYFUNCTION("""COMPUTED_VALUE"""),"ASCENDENTE")</f>
        <v>ASCENDENTE</v>
      </c>
      <c r="E32" s="23" t="str">
        <f ca="1">IFERROR(__xludf.DUMMYFUNCTION("""COMPUTED_VALUE"""),"BITACORA OPERATIVA")</f>
        <v>BITACORA OPERATIVA</v>
      </c>
      <c r="F32" s="23">
        <f ca="1">IFERROR(__xludf.DUMMYFUNCTION("""COMPUTED_VALUE"""),0)</f>
        <v>0</v>
      </c>
      <c r="G32" s="23">
        <f ca="1">IFERROR(__xludf.DUMMYFUNCTION("""COMPUTED_VALUE"""),0)</f>
        <v>0</v>
      </c>
      <c r="H32" s="23">
        <f ca="1">IFERROR(__xludf.DUMMYFUNCTION("""COMPUTED_VALUE"""),0)</f>
        <v>0</v>
      </c>
      <c r="I32" s="23">
        <f ca="1">IFERROR(__xludf.DUMMYFUNCTION("""COMPUTED_VALUE"""),0)</f>
        <v>0</v>
      </c>
      <c r="J32" s="23">
        <f ca="1">IFERROR(__xludf.DUMMYFUNCTION("""COMPUTED_VALUE"""),0)</f>
        <v>0</v>
      </c>
      <c r="K32" s="23">
        <f ca="1">IFERROR(__xludf.DUMMYFUNCTION("""COMPUTED_VALUE"""),5)</f>
        <v>5</v>
      </c>
      <c r="L32" s="23">
        <f ca="1">IFERROR(__xludf.DUMMYFUNCTION("""COMPUTED_VALUE"""),5)</f>
        <v>5</v>
      </c>
      <c r="M32" s="23">
        <f ca="1">IFERROR(__xludf.DUMMYFUNCTION("""COMPUTED_VALUE"""),0)</f>
        <v>0</v>
      </c>
      <c r="N32" s="23">
        <f ca="1">IFERROR(__xludf.DUMMYFUNCTION("""COMPUTED_VALUE"""),0)</f>
        <v>0</v>
      </c>
      <c r="O32" s="23">
        <f ca="1">IFERROR(__xludf.DUMMYFUNCTION("""COMPUTED_VALUE"""),0)</f>
        <v>0</v>
      </c>
      <c r="P32" s="23">
        <f ca="1">IFERROR(__xludf.DUMMYFUNCTION("""COMPUTED_VALUE"""),0)</f>
        <v>0</v>
      </c>
      <c r="Q32" s="23">
        <f ca="1">IFERROR(__xludf.DUMMYFUNCTION("""COMPUTED_VALUE"""),0)</f>
        <v>0</v>
      </c>
      <c r="R32" s="23">
        <f ca="1">IFERROR(__xludf.DUMMYFUNCTION("""COMPUTED_VALUE"""),0)</f>
        <v>0</v>
      </c>
      <c r="S32" s="23">
        <f ca="1">IFERROR(__xludf.DUMMYFUNCTION("""COMPUTED_VALUE"""),10)</f>
        <v>10</v>
      </c>
    </row>
    <row r="33" spans="1:19">
      <c r="A33" s="23" t="str">
        <f ca="1">IFERROR(__xludf.DUMMYFUNCTION("""COMPUTED_VALUE"""),"MUJERES")</f>
        <v>MUJERES</v>
      </c>
      <c r="B33" s="23">
        <f ca="1">IFERROR(__xludf.DUMMYFUNCTION("""COMPUTED_VALUE"""),1)</f>
        <v>1</v>
      </c>
      <c r="C33" s="23"/>
      <c r="D33" s="23" t="str">
        <f ca="1">IFERROR(__xludf.DUMMYFUNCTION("""COMPUTED_VALUE"""),"ASCENDENTE")</f>
        <v>ASCENDENTE</v>
      </c>
      <c r="E33" s="23" t="str">
        <f ca="1">IFERROR(__xludf.DUMMYFUNCTION("""COMPUTED_VALUE"""),"BITACORA OPERATIVA")</f>
        <v>BITACORA OPERATIVA</v>
      </c>
      <c r="F33" s="23">
        <f ca="1">IFERROR(__xludf.DUMMYFUNCTION("""COMPUTED_VALUE"""),0)</f>
        <v>0</v>
      </c>
      <c r="G33" s="23">
        <f ca="1">IFERROR(__xludf.DUMMYFUNCTION("""COMPUTED_VALUE"""),0)</f>
        <v>0</v>
      </c>
      <c r="H33" s="23">
        <f ca="1">IFERROR(__xludf.DUMMYFUNCTION("""COMPUTED_VALUE"""),0)</f>
        <v>0</v>
      </c>
      <c r="I33" s="23">
        <f ca="1">IFERROR(__xludf.DUMMYFUNCTION("""COMPUTED_VALUE"""),0)</f>
        <v>0</v>
      </c>
      <c r="J33" s="23">
        <f ca="1">IFERROR(__xludf.DUMMYFUNCTION("""COMPUTED_VALUE"""),0)</f>
        <v>0</v>
      </c>
      <c r="K33" s="23">
        <f ca="1">IFERROR(__xludf.DUMMYFUNCTION("""COMPUTED_VALUE"""),102)</f>
        <v>102</v>
      </c>
      <c r="L33" s="23">
        <f ca="1">IFERROR(__xludf.DUMMYFUNCTION("""COMPUTED_VALUE"""),103)</f>
        <v>103</v>
      </c>
      <c r="M33" s="23">
        <f ca="1">IFERROR(__xludf.DUMMYFUNCTION("""COMPUTED_VALUE"""),0)</f>
        <v>0</v>
      </c>
      <c r="N33" s="23">
        <f ca="1">IFERROR(__xludf.DUMMYFUNCTION("""COMPUTED_VALUE"""),0)</f>
        <v>0</v>
      </c>
      <c r="O33" s="23">
        <f ca="1">IFERROR(__xludf.DUMMYFUNCTION("""COMPUTED_VALUE"""),0)</f>
        <v>0</v>
      </c>
      <c r="P33" s="23">
        <f ca="1">IFERROR(__xludf.DUMMYFUNCTION("""COMPUTED_VALUE"""),0)</f>
        <v>0</v>
      </c>
      <c r="Q33" s="23">
        <f ca="1">IFERROR(__xludf.DUMMYFUNCTION("""COMPUTED_VALUE"""),0)</f>
        <v>0</v>
      </c>
      <c r="R33" s="23">
        <f ca="1">IFERROR(__xludf.DUMMYFUNCTION("""COMPUTED_VALUE"""),0)</f>
        <v>0</v>
      </c>
      <c r="S33" s="23">
        <f ca="1">IFERROR(__xludf.DUMMYFUNCTION("""COMPUTED_VALUE"""),205)</f>
        <v>205</v>
      </c>
    </row>
    <row r="34" spans="1:19">
      <c r="A34" s="23" t="str">
        <f ca="1">IFERROR(__xludf.DUMMYFUNCTION("""COMPUTED_VALUE"""),"PENSIONADOS")</f>
        <v>PENSIONADOS</v>
      </c>
      <c r="B34" s="23">
        <f ca="1">IFERROR(__xludf.DUMMYFUNCTION("""COMPUTED_VALUE"""),1)</f>
        <v>1</v>
      </c>
      <c r="C34" s="23"/>
      <c r="D34" s="23" t="str">
        <f ca="1">IFERROR(__xludf.DUMMYFUNCTION("""COMPUTED_VALUE"""),"ASCENDENTE")</f>
        <v>ASCENDENTE</v>
      </c>
      <c r="E34" s="23" t="str">
        <f ca="1">IFERROR(__xludf.DUMMYFUNCTION("""COMPUTED_VALUE"""),"BITACORA OPERATIVA")</f>
        <v>BITACORA OPERATIVA</v>
      </c>
      <c r="F34" s="23">
        <f ca="1">IFERROR(__xludf.DUMMYFUNCTION("""COMPUTED_VALUE"""),0)</f>
        <v>0</v>
      </c>
      <c r="G34" s="23">
        <f ca="1">IFERROR(__xludf.DUMMYFUNCTION("""COMPUTED_VALUE"""),0)</f>
        <v>0</v>
      </c>
      <c r="H34" s="23">
        <f ca="1">IFERROR(__xludf.DUMMYFUNCTION("""COMPUTED_VALUE"""),0)</f>
        <v>0</v>
      </c>
      <c r="I34" s="23">
        <f ca="1">IFERROR(__xludf.DUMMYFUNCTION("""COMPUTED_VALUE"""),0)</f>
        <v>0</v>
      </c>
      <c r="J34" s="23">
        <f ca="1">IFERROR(__xludf.DUMMYFUNCTION("""COMPUTED_VALUE"""),0)</f>
        <v>0</v>
      </c>
      <c r="K34" s="23">
        <f ca="1">IFERROR(__xludf.DUMMYFUNCTION("""COMPUTED_VALUE"""),62)</f>
        <v>62</v>
      </c>
      <c r="L34" s="23">
        <f ca="1">IFERROR(__xludf.DUMMYFUNCTION("""COMPUTED_VALUE"""),62)</f>
        <v>62</v>
      </c>
      <c r="M34" s="23">
        <f ca="1">IFERROR(__xludf.DUMMYFUNCTION("""COMPUTED_VALUE"""),0)</f>
        <v>0</v>
      </c>
      <c r="N34" s="23">
        <f ca="1">IFERROR(__xludf.DUMMYFUNCTION("""COMPUTED_VALUE"""),0)</f>
        <v>0</v>
      </c>
      <c r="O34" s="23">
        <f ca="1">IFERROR(__xludf.DUMMYFUNCTION("""COMPUTED_VALUE"""),0)</f>
        <v>0</v>
      </c>
      <c r="P34" s="23">
        <f ca="1">IFERROR(__xludf.DUMMYFUNCTION("""COMPUTED_VALUE"""),0)</f>
        <v>0</v>
      </c>
      <c r="Q34" s="23">
        <f ca="1">IFERROR(__xludf.DUMMYFUNCTION("""COMPUTED_VALUE"""),0)</f>
        <v>0</v>
      </c>
      <c r="R34" s="23">
        <f ca="1">IFERROR(__xludf.DUMMYFUNCTION("""COMPUTED_VALUE"""),0)</f>
        <v>0</v>
      </c>
      <c r="S34" s="23">
        <f ca="1">IFERROR(__xludf.DUMMYFUNCTION("""COMPUTED_VALUE"""),124)</f>
        <v>124</v>
      </c>
    </row>
    <row r="35" spans="1:19">
      <c r="A35" s="23" t="str">
        <f ca="1">IFERROR(__xludf.DUMMYFUNCTION("""COMPUTED_VALUE"""),"HOMBRES")</f>
        <v>HOMBRES</v>
      </c>
      <c r="B35" s="23">
        <f ca="1">IFERROR(__xludf.DUMMYFUNCTION("""COMPUTED_VALUE"""),1)</f>
        <v>1</v>
      </c>
      <c r="C35" s="23"/>
      <c r="D35" s="23" t="str">
        <f ca="1">IFERROR(__xludf.DUMMYFUNCTION("""COMPUTED_VALUE"""),"ASCENDENTE")</f>
        <v>ASCENDENTE</v>
      </c>
      <c r="E35" s="23" t="str">
        <f ca="1">IFERROR(__xludf.DUMMYFUNCTION("""COMPUTED_VALUE"""),"BITACORA OPERATIVA")</f>
        <v>BITACORA OPERATIVA</v>
      </c>
      <c r="F35" s="23">
        <f ca="1">IFERROR(__xludf.DUMMYFUNCTION("""COMPUTED_VALUE"""),0)</f>
        <v>0</v>
      </c>
      <c r="G35" s="23">
        <f ca="1">IFERROR(__xludf.DUMMYFUNCTION("""COMPUTED_VALUE"""),0)</f>
        <v>0</v>
      </c>
      <c r="H35" s="23">
        <f ca="1">IFERROR(__xludf.DUMMYFUNCTION("""COMPUTED_VALUE"""),0)</f>
        <v>0</v>
      </c>
      <c r="I35" s="23">
        <f ca="1">IFERROR(__xludf.DUMMYFUNCTION("""COMPUTED_VALUE"""),0)</f>
        <v>0</v>
      </c>
      <c r="J35" s="23">
        <f ca="1">IFERROR(__xludf.DUMMYFUNCTION("""COMPUTED_VALUE"""),0)</f>
        <v>0</v>
      </c>
      <c r="K35" s="23">
        <f ca="1">IFERROR(__xludf.DUMMYFUNCTION("""COMPUTED_VALUE"""),40)</f>
        <v>40</v>
      </c>
      <c r="L35" s="23">
        <f ca="1">IFERROR(__xludf.DUMMYFUNCTION("""COMPUTED_VALUE"""),41)</f>
        <v>41</v>
      </c>
      <c r="M35" s="23">
        <f ca="1">IFERROR(__xludf.DUMMYFUNCTION("""COMPUTED_VALUE"""),0)</f>
        <v>0</v>
      </c>
      <c r="N35" s="23">
        <f ca="1">IFERROR(__xludf.DUMMYFUNCTION("""COMPUTED_VALUE"""),0)</f>
        <v>0</v>
      </c>
      <c r="O35" s="23">
        <f ca="1">IFERROR(__xludf.DUMMYFUNCTION("""COMPUTED_VALUE"""),0)</f>
        <v>0</v>
      </c>
      <c r="P35" s="23">
        <f ca="1">IFERROR(__xludf.DUMMYFUNCTION("""COMPUTED_VALUE"""),0)</f>
        <v>0</v>
      </c>
      <c r="Q35" s="23">
        <f ca="1">IFERROR(__xludf.DUMMYFUNCTION("""COMPUTED_VALUE"""),0)</f>
        <v>0</v>
      </c>
      <c r="R35" s="23">
        <f ca="1">IFERROR(__xludf.DUMMYFUNCTION("""COMPUTED_VALUE"""),0)</f>
        <v>0</v>
      </c>
      <c r="S35" s="23">
        <f ca="1">IFERROR(__xludf.DUMMYFUNCTION("""COMPUTED_VALUE"""),81)</f>
        <v>81</v>
      </c>
    </row>
    <row r="36" spans="1:19">
      <c r="A36" s="23" t="str">
        <f ca="1">IFERROR(__xludf.DUMMYFUNCTION("""COMPUTED_VALUE"""),"MUJERES")</f>
        <v>MUJERES</v>
      </c>
      <c r="B36" s="23">
        <f ca="1">IFERROR(__xludf.DUMMYFUNCTION("""COMPUTED_VALUE"""),1)</f>
        <v>1</v>
      </c>
      <c r="C36" s="23"/>
      <c r="D36" s="23" t="str">
        <f ca="1">IFERROR(__xludf.DUMMYFUNCTION("""COMPUTED_VALUE"""),"ASCENDENTE")</f>
        <v>ASCENDENTE</v>
      </c>
      <c r="E36" s="23" t="str">
        <f ca="1">IFERROR(__xludf.DUMMYFUNCTION("""COMPUTED_VALUE"""),"BITACORA OPERATIVA")</f>
        <v>BITACORA OPERATIVA</v>
      </c>
      <c r="F36" s="23">
        <f ca="1">IFERROR(__xludf.DUMMYFUNCTION("""COMPUTED_VALUE"""),0)</f>
        <v>0</v>
      </c>
      <c r="G36" s="23">
        <f ca="1">IFERROR(__xludf.DUMMYFUNCTION("""COMPUTED_VALUE"""),0)</f>
        <v>0</v>
      </c>
      <c r="H36" s="23">
        <f ca="1">IFERROR(__xludf.DUMMYFUNCTION("""COMPUTED_VALUE"""),0)</f>
        <v>0</v>
      </c>
      <c r="I36" s="23">
        <f ca="1">IFERROR(__xludf.DUMMYFUNCTION("""COMPUTED_VALUE"""),0)</f>
        <v>0</v>
      </c>
      <c r="J36" s="23">
        <f ca="1">IFERROR(__xludf.DUMMYFUNCTION("""COMPUTED_VALUE"""),203)</f>
        <v>203</v>
      </c>
      <c r="K36" s="23">
        <f ca="1">IFERROR(__xludf.DUMMYFUNCTION("""COMPUTED_VALUE"""),210)</f>
        <v>210</v>
      </c>
      <c r="L36" s="23">
        <f ca="1">IFERROR(__xludf.DUMMYFUNCTION("""COMPUTED_VALUE"""),213)</f>
        <v>213</v>
      </c>
      <c r="M36" s="23">
        <f ca="1">IFERROR(__xludf.DUMMYFUNCTION("""COMPUTED_VALUE"""),0)</f>
        <v>0</v>
      </c>
      <c r="N36" s="23">
        <f ca="1">IFERROR(__xludf.DUMMYFUNCTION("""COMPUTED_VALUE"""),0)</f>
        <v>0</v>
      </c>
      <c r="O36" s="23">
        <f ca="1">IFERROR(__xludf.DUMMYFUNCTION("""COMPUTED_VALUE"""),0)</f>
        <v>0</v>
      </c>
      <c r="P36" s="23">
        <f ca="1">IFERROR(__xludf.DUMMYFUNCTION("""COMPUTED_VALUE"""),0)</f>
        <v>0</v>
      </c>
      <c r="Q36" s="23">
        <f ca="1">IFERROR(__xludf.DUMMYFUNCTION("""COMPUTED_VALUE"""),0)</f>
        <v>0</v>
      </c>
      <c r="R36" s="23">
        <f ca="1">IFERROR(__xludf.DUMMYFUNCTION("""COMPUTED_VALUE"""),0)</f>
        <v>0</v>
      </c>
      <c r="S36" s="23">
        <f ca="1">IFERROR(__xludf.DUMMYFUNCTION("""COMPUTED_VALUE"""),626)</f>
        <v>626</v>
      </c>
    </row>
    <row r="37" spans="1:19">
      <c r="A37" s="23" t="str">
        <f ca="1">IFERROR(__xludf.DUMMYFUNCTION("""COMPUTED_VALUE"""),"TOTAL DE VEHICULOS QUE CARGARON COMBUSTIBLE")</f>
        <v>TOTAL DE VEHICULOS QUE CARGARON COMBUSTIBLE</v>
      </c>
      <c r="B37" s="23">
        <f ca="1">IFERROR(__xludf.DUMMYFUNCTION("""COMPUTED_VALUE"""),1)</f>
        <v>1</v>
      </c>
      <c r="C37" s="23"/>
      <c r="D37" s="23" t="str">
        <f ca="1">IFERROR(__xludf.DUMMYFUNCTION("""COMPUTED_VALUE"""),"ASCENDENTE")</f>
        <v>ASCENDENTE</v>
      </c>
      <c r="E37" s="23" t="str">
        <f ca="1">IFERROR(__xludf.DUMMYFUNCTION("""COMPUTED_VALUE"""),"BITACORA OPERATIVA")</f>
        <v>BITACORA OPERATIVA</v>
      </c>
      <c r="F37" s="23">
        <f ca="1">IFERROR(__xludf.DUMMYFUNCTION("""COMPUTED_VALUE"""),0)</f>
        <v>0</v>
      </c>
      <c r="G37" s="23">
        <f ca="1">IFERROR(__xludf.DUMMYFUNCTION("""COMPUTED_VALUE"""),0)</f>
        <v>0</v>
      </c>
      <c r="H37" s="23">
        <f ca="1">IFERROR(__xludf.DUMMYFUNCTION("""COMPUTED_VALUE"""),0)</f>
        <v>0</v>
      </c>
      <c r="I37" s="23">
        <f ca="1">IFERROR(__xludf.DUMMYFUNCTION("""COMPUTED_VALUE"""),0)</f>
        <v>0</v>
      </c>
      <c r="J37" s="23">
        <f ca="1">IFERROR(__xludf.DUMMYFUNCTION("""COMPUTED_VALUE"""),180)</f>
        <v>180</v>
      </c>
      <c r="K37" s="23">
        <f ca="1">IFERROR(__xludf.DUMMYFUNCTION("""COMPUTED_VALUE"""),187)</f>
        <v>187</v>
      </c>
      <c r="L37" s="23">
        <f ca="1">IFERROR(__xludf.DUMMYFUNCTION("""COMPUTED_VALUE"""),190)</f>
        <v>190</v>
      </c>
      <c r="M37" s="23">
        <f ca="1">IFERROR(__xludf.DUMMYFUNCTION("""COMPUTED_VALUE"""),0)</f>
        <v>0</v>
      </c>
      <c r="N37" s="23">
        <f ca="1">IFERROR(__xludf.DUMMYFUNCTION("""COMPUTED_VALUE"""),0)</f>
        <v>0</v>
      </c>
      <c r="O37" s="23">
        <f ca="1">IFERROR(__xludf.DUMMYFUNCTION("""COMPUTED_VALUE"""),0)</f>
        <v>0</v>
      </c>
      <c r="P37" s="23">
        <f ca="1">IFERROR(__xludf.DUMMYFUNCTION("""COMPUTED_VALUE"""),0)</f>
        <v>0</v>
      </c>
      <c r="Q37" s="23">
        <f ca="1">IFERROR(__xludf.DUMMYFUNCTION("""COMPUTED_VALUE"""),0)</f>
        <v>0</v>
      </c>
      <c r="R37" s="23">
        <f ca="1">IFERROR(__xludf.DUMMYFUNCTION("""COMPUTED_VALUE"""),0)</f>
        <v>0</v>
      </c>
      <c r="S37" s="23">
        <f ca="1">IFERROR(__xludf.DUMMYFUNCTION("""COMPUTED_VALUE"""),557)</f>
        <v>557</v>
      </c>
    </row>
    <row r="38" spans="1:19">
      <c r="A38" s="23" t="str">
        <f ca="1">IFERROR(__xludf.DUMMYFUNCTION("""COMPUTED_VALUE"""),"VEHICULOS OFICIALES A GASOLINA")</f>
        <v>VEHICULOS OFICIALES A GASOLINA</v>
      </c>
      <c r="B38" s="23">
        <f ca="1">IFERROR(__xludf.DUMMYFUNCTION("""COMPUTED_VALUE"""),1)</f>
        <v>1</v>
      </c>
      <c r="C38" s="23"/>
      <c r="D38" s="23" t="str">
        <f ca="1">IFERROR(__xludf.DUMMYFUNCTION("""COMPUTED_VALUE"""),"ASCENDENTE")</f>
        <v>ASCENDENTE</v>
      </c>
      <c r="E38" s="23" t="str">
        <f ca="1">IFERROR(__xludf.DUMMYFUNCTION("""COMPUTED_VALUE"""),"BITACORA OPERATIVA")</f>
        <v>BITACORA OPERATIVA</v>
      </c>
      <c r="F38" s="23">
        <f ca="1">IFERROR(__xludf.DUMMYFUNCTION("""COMPUTED_VALUE"""),0)</f>
        <v>0</v>
      </c>
      <c r="G38" s="23">
        <f ca="1">IFERROR(__xludf.DUMMYFUNCTION("""COMPUTED_VALUE"""),0)</f>
        <v>0</v>
      </c>
      <c r="H38" s="23">
        <f ca="1">IFERROR(__xludf.DUMMYFUNCTION("""COMPUTED_VALUE"""),0)</f>
        <v>0</v>
      </c>
      <c r="I38" s="23">
        <f ca="1">IFERROR(__xludf.DUMMYFUNCTION("""COMPUTED_VALUE"""),0)</f>
        <v>0</v>
      </c>
      <c r="J38" s="23">
        <f ca="1">IFERROR(__xludf.DUMMYFUNCTION("""COMPUTED_VALUE"""),1010)</f>
        <v>1010</v>
      </c>
      <c r="K38" s="23">
        <f ca="1">IFERROR(__xludf.DUMMYFUNCTION("""COMPUTED_VALUE"""),1114)</f>
        <v>1114</v>
      </c>
      <c r="L38" s="23">
        <f ca="1">IFERROR(__xludf.DUMMYFUNCTION("""COMPUTED_VALUE"""),1178)</f>
        <v>1178</v>
      </c>
      <c r="M38" s="23">
        <f ca="1">IFERROR(__xludf.DUMMYFUNCTION("""COMPUTED_VALUE"""),0)</f>
        <v>0</v>
      </c>
      <c r="N38" s="23">
        <f ca="1">IFERROR(__xludf.DUMMYFUNCTION("""COMPUTED_VALUE"""),0)</f>
        <v>0</v>
      </c>
      <c r="O38" s="23">
        <f ca="1">IFERROR(__xludf.DUMMYFUNCTION("""COMPUTED_VALUE"""),0)</f>
        <v>0</v>
      </c>
      <c r="P38" s="23">
        <f ca="1">IFERROR(__xludf.DUMMYFUNCTION("""COMPUTED_VALUE"""),0)</f>
        <v>0</v>
      </c>
      <c r="Q38" s="23">
        <f ca="1">IFERROR(__xludf.DUMMYFUNCTION("""COMPUTED_VALUE"""),0)</f>
        <v>0</v>
      </c>
      <c r="R38" s="23">
        <f ca="1">IFERROR(__xludf.DUMMYFUNCTION("""COMPUTED_VALUE"""),0)</f>
        <v>0</v>
      </c>
      <c r="S38" s="23">
        <f ca="1">IFERROR(__xludf.DUMMYFUNCTION("""COMPUTED_VALUE"""),3302)</f>
        <v>3302</v>
      </c>
    </row>
    <row r="39" spans="1:19">
      <c r="A39" s="23" t="str">
        <f ca="1">IFERROR(__xludf.DUMMYFUNCTION("""COMPUTED_VALUE"""),"NÚMERO DE VECES QUE CARGARON COMBUSTIBLE")</f>
        <v>NÚMERO DE VECES QUE CARGARON COMBUSTIBLE</v>
      </c>
      <c r="B39" s="23">
        <f ca="1">IFERROR(__xludf.DUMMYFUNCTION("""COMPUTED_VALUE"""),1)</f>
        <v>1</v>
      </c>
      <c r="C39" s="23"/>
      <c r="D39" s="23" t="str">
        <f ca="1">IFERROR(__xludf.DUMMYFUNCTION("""COMPUTED_VALUE"""),"ASCENDENTE")</f>
        <v>ASCENDENTE</v>
      </c>
      <c r="E39" s="23" t="str">
        <f ca="1">IFERROR(__xludf.DUMMYFUNCTION("""COMPUTED_VALUE"""),"BITACORA OPERATIVA")</f>
        <v>BITACORA OPERATIVA</v>
      </c>
      <c r="F39" s="23">
        <f ca="1">IFERROR(__xludf.DUMMYFUNCTION("""COMPUTED_VALUE"""),0)</f>
        <v>0</v>
      </c>
      <c r="G39" s="23">
        <f ca="1">IFERROR(__xludf.DUMMYFUNCTION("""COMPUTED_VALUE"""),0)</f>
        <v>0</v>
      </c>
      <c r="H39" s="23">
        <f ca="1">IFERROR(__xludf.DUMMYFUNCTION("""COMPUTED_VALUE"""),0)</f>
        <v>0</v>
      </c>
      <c r="I39" s="23">
        <f ca="1">IFERROR(__xludf.DUMMYFUNCTION("""COMPUTED_VALUE"""),0)</f>
        <v>0</v>
      </c>
      <c r="J39" s="23">
        <f ca="1">IFERROR(__xludf.DUMMYFUNCTION("""COMPUTED_VALUE"""),121366)</f>
        <v>121366</v>
      </c>
      <c r="K39" s="23">
        <f ca="1">IFERROR(__xludf.DUMMYFUNCTION("""COMPUTED_VALUE"""),123492)</f>
        <v>123492</v>
      </c>
      <c r="L39" s="23">
        <f ca="1">IFERROR(__xludf.DUMMYFUNCTION("""COMPUTED_VALUE"""),125803)</f>
        <v>125803</v>
      </c>
      <c r="M39" s="23">
        <f ca="1">IFERROR(__xludf.DUMMYFUNCTION("""COMPUTED_VALUE"""),0)</f>
        <v>0</v>
      </c>
      <c r="N39" s="23">
        <f ca="1">IFERROR(__xludf.DUMMYFUNCTION("""COMPUTED_VALUE"""),0)</f>
        <v>0</v>
      </c>
      <c r="O39" s="23">
        <f ca="1">IFERROR(__xludf.DUMMYFUNCTION("""COMPUTED_VALUE"""),0)</f>
        <v>0</v>
      </c>
      <c r="P39" s="23">
        <f ca="1">IFERROR(__xludf.DUMMYFUNCTION("""COMPUTED_VALUE"""),0)</f>
        <v>0</v>
      </c>
      <c r="Q39" s="23">
        <f ca="1">IFERROR(__xludf.DUMMYFUNCTION("""COMPUTED_VALUE"""),0)</f>
        <v>0</v>
      </c>
      <c r="R39" s="23">
        <f ca="1">IFERROR(__xludf.DUMMYFUNCTION("""COMPUTED_VALUE"""),0)</f>
        <v>0</v>
      </c>
      <c r="S39" s="23">
        <f ca="1">IFERROR(__xludf.DUMMYFUNCTION("""COMPUTED_VALUE"""),370661)</f>
        <v>370661</v>
      </c>
    </row>
    <row r="40" spans="1:19">
      <c r="A40" s="23" t="str">
        <f ca="1">IFERROR(__xludf.DUMMYFUNCTION("""COMPUTED_VALUE"""),"TOTAL DE LITROS DE GASOLINA DESPACHADA")</f>
        <v>TOTAL DE LITROS DE GASOLINA DESPACHADA</v>
      </c>
      <c r="B40" s="23">
        <f ca="1">IFERROR(__xludf.DUMMYFUNCTION("""COMPUTED_VALUE"""),1)</f>
        <v>1</v>
      </c>
      <c r="C40" s="23"/>
      <c r="D40" s="23" t="str">
        <f ca="1">IFERROR(__xludf.DUMMYFUNCTION("""COMPUTED_VALUE"""),"ASCENDENTE")</f>
        <v>ASCENDENTE</v>
      </c>
      <c r="E40" s="23" t="str">
        <f ca="1">IFERROR(__xludf.DUMMYFUNCTION("""COMPUTED_VALUE"""),"BITACORA OPERATIVA")</f>
        <v>BITACORA OPERATIVA</v>
      </c>
      <c r="F40" s="23">
        <f ca="1">IFERROR(__xludf.DUMMYFUNCTION("""COMPUTED_VALUE"""),0)</f>
        <v>0</v>
      </c>
      <c r="G40" s="23">
        <f ca="1">IFERROR(__xludf.DUMMYFUNCTION("""COMPUTED_VALUE"""),0)</f>
        <v>0</v>
      </c>
      <c r="H40" s="23">
        <f ca="1">IFERROR(__xludf.DUMMYFUNCTION("""COMPUTED_VALUE"""),0)</f>
        <v>0</v>
      </c>
      <c r="I40" s="23">
        <f ca="1">IFERROR(__xludf.DUMMYFUNCTION("""COMPUTED_VALUE"""),0)</f>
        <v>0</v>
      </c>
      <c r="J40" s="23">
        <f ca="1">IFERROR(__xludf.DUMMYFUNCTION("""COMPUTED_VALUE"""),61)</f>
        <v>61</v>
      </c>
      <c r="K40" s="23">
        <f ca="1">IFERROR(__xludf.DUMMYFUNCTION("""COMPUTED_VALUE"""),65)</f>
        <v>65</v>
      </c>
      <c r="L40" s="23">
        <f ca="1">IFERROR(__xludf.DUMMYFUNCTION("""COMPUTED_VALUE"""),65)</f>
        <v>65</v>
      </c>
      <c r="M40" s="23">
        <f ca="1">IFERROR(__xludf.DUMMYFUNCTION("""COMPUTED_VALUE"""),0)</f>
        <v>0</v>
      </c>
      <c r="N40" s="23">
        <f ca="1">IFERROR(__xludf.DUMMYFUNCTION("""COMPUTED_VALUE"""),0)</f>
        <v>0</v>
      </c>
      <c r="O40" s="23">
        <f ca="1">IFERROR(__xludf.DUMMYFUNCTION("""COMPUTED_VALUE"""),0)</f>
        <v>0</v>
      </c>
      <c r="P40" s="23">
        <f ca="1">IFERROR(__xludf.DUMMYFUNCTION("""COMPUTED_VALUE"""),0)</f>
        <v>0</v>
      </c>
      <c r="Q40" s="23">
        <f ca="1">IFERROR(__xludf.DUMMYFUNCTION("""COMPUTED_VALUE"""),0)</f>
        <v>0</v>
      </c>
      <c r="R40" s="23">
        <f ca="1">IFERROR(__xludf.DUMMYFUNCTION("""COMPUTED_VALUE"""),0)</f>
        <v>0</v>
      </c>
      <c r="S40" s="23">
        <f ca="1">IFERROR(__xludf.DUMMYFUNCTION("""COMPUTED_VALUE"""),191)</f>
        <v>191</v>
      </c>
    </row>
    <row r="41" spans="1:19">
      <c r="A41" s="23" t="str">
        <f ca="1">IFERROR(__xludf.DUMMYFUNCTION("""COMPUTED_VALUE"""),"MOTOCICLETAS OFICIALES")</f>
        <v>MOTOCICLETAS OFICIALES</v>
      </c>
      <c r="B41" s="23">
        <f ca="1">IFERROR(__xludf.DUMMYFUNCTION("""COMPUTED_VALUE"""),1)</f>
        <v>1</v>
      </c>
      <c r="C41" s="23"/>
      <c r="D41" s="23" t="str">
        <f ca="1">IFERROR(__xludf.DUMMYFUNCTION("""COMPUTED_VALUE"""),"ASCENDENTE")</f>
        <v>ASCENDENTE</v>
      </c>
      <c r="E41" s="23" t="str">
        <f ca="1">IFERROR(__xludf.DUMMYFUNCTION("""COMPUTED_VALUE"""),"BITACORA OPERATIVA")</f>
        <v>BITACORA OPERATIVA</v>
      </c>
      <c r="F41" s="23">
        <f ca="1">IFERROR(__xludf.DUMMYFUNCTION("""COMPUTED_VALUE"""),0)</f>
        <v>0</v>
      </c>
      <c r="G41" s="23">
        <f ca="1">IFERROR(__xludf.DUMMYFUNCTION("""COMPUTED_VALUE"""),0)</f>
        <v>0</v>
      </c>
      <c r="H41" s="23">
        <f ca="1">IFERROR(__xludf.DUMMYFUNCTION("""COMPUTED_VALUE"""),0)</f>
        <v>0</v>
      </c>
      <c r="I41" s="23">
        <f ca="1">IFERROR(__xludf.DUMMYFUNCTION("""COMPUTED_VALUE"""),0)</f>
        <v>0</v>
      </c>
      <c r="J41" s="23">
        <f ca="1">IFERROR(__xludf.DUMMYFUNCTION("""COMPUTED_VALUE"""),244)</f>
        <v>244</v>
      </c>
      <c r="K41" s="23">
        <f ca="1">IFERROR(__xludf.DUMMYFUNCTION("""COMPUTED_VALUE"""),260)</f>
        <v>260</v>
      </c>
      <c r="L41" s="23">
        <f ca="1">IFERROR(__xludf.DUMMYFUNCTION("""COMPUTED_VALUE"""),260)</f>
        <v>260</v>
      </c>
      <c r="M41" s="23">
        <f ca="1">IFERROR(__xludf.DUMMYFUNCTION("""COMPUTED_VALUE"""),0)</f>
        <v>0</v>
      </c>
      <c r="N41" s="23">
        <f ca="1">IFERROR(__xludf.DUMMYFUNCTION("""COMPUTED_VALUE"""),0)</f>
        <v>0</v>
      </c>
      <c r="O41" s="23">
        <f ca="1">IFERROR(__xludf.DUMMYFUNCTION("""COMPUTED_VALUE"""),0)</f>
        <v>0</v>
      </c>
      <c r="P41" s="23">
        <f ca="1">IFERROR(__xludf.DUMMYFUNCTION("""COMPUTED_VALUE"""),0)</f>
        <v>0</v>
      </c>
      <c r="Q41" s="23">
        <f ca="1">IFERROR(__xludf.DUMMYFUNCTION("""COMPUTED_VALUE"""),0)</f>
        <v>0</v>
      </c>
      <c r="R41" s="23">
        <f ca="1">IFERROR(__xludf.DUMMYFUNCTION("""COMPUTED_VALUE"""),0)</f>
        <v>0</v>
      </c>
      <c r="S41" s="23">
        <f ca="1">IFERROR(__xludf.DUMMYFUNCTION("""COMPUTED_VALUE"""),764)</f>
        <v>764</v>
      </c>
    </row>
    <row r="42" spans="1:19">
      <c r="A42" s="23" t="str">
        <f ca="1">IFERROR(__xludf.DUMMYFUNCTION("""COMPUTED_VALUE"""),"NÚMERO DE VECES QUE CARGARON COMBUSTIBLE")</f>
        <v>NÚMERO DE VECES QUE CARGARON COMBUSTIBLE</v>
      </c>
      <c r="B42" s="23">
        <f ca="1">IFERROR(__xludf.DUMMYFUNCTION("""COMPUTED_VALUE"""),1)</f>
        <v>1</v>
      </c>
      <c r="C42" s="23"/>
      <c r="D42" s="23" t="str">
        <f ca="1">IFERROR(__xludf.DUMMYFUNCTION("""COMPUTED_VALUE"""),"ASCENDENTE")</f>
        <v>ASCENDENTE</v>
      </c>
      <c r="E42" s="23" t="str">
        <f ca="1">IFERROR(__xludf.DUMMYFUNCTION("""COMPUTED_VALUE"""),"BITACORA OPERATIVA")</f>
        <v>BITACORA OPERATIVA</v>
      </c>
      <c r="F42" s="23">
        <f ca="1">IFERROR(__xludf.DUMMYFUNCTION("""COMPUTED_VALUE"""),0)</f>
        <v>0</v>
      </c>
      <c r="G42" s="23">
        <f ca="1">IFERROR(__xludf.DUMMYFUNCTION("""COMPUTED_VALUE"""),0)</f>
        <v>0</v>
      </c>
      <c r="H42" s="23">
        <f ca="1">IFERROR(__xludf.DUMMYFUNCTION("""COMPUTED_VALUE"""),0)</f>
        <v>0</v>
      </c>
      <c r="I42" s="23">
        <f ca="1">IFERROR(__xludf.DUMMYFUNCTION("""COMPUTED_VALUE"""),0)</f>
        <v>0</v>
      </c>
      <c r="J42" s="23">
        <f ca="1">IFERROR(__xludf.DUMMYFUNCTION("""COMPUTED_VALUE"""),170)</f>
        <v>170</v>
      </c>
      <c r="K42" s="23">
        <f ca="1">IFERROR(__xludf.DUMMYFUNCTION("""COMPUTED_VALUE"""),185)</f>
        <v>185</v>
      </c>
      <c r="L42" s="23">
        <f ca="1">IFERROR(__xludf.DUMMYFUNCTION("""COMPUTED_VALUE"""),185)</f>
        <v>185</v>
      </c>
      <c r="M42" s="23">
        <f ca="1">IFERROR(__xludf.DUMMYFUNCTION("""COMPUTED_VALUE"""),0)</f>
        <v>0</v>
      </c>
      <c r="N42" s="23">
        <f ca="1">IFERROR(__xludf.DUMMYFUNCTION("""COMPUTED_VALUE"""),0)</f>
        <v>0</v>
      </c>
      <c r="O42" s="23">
        <f ca="1">IFERROR(__xludf.DUMMYFUNCTION("""COMPUTED_VALUE"""),0)</f>
        <v>0</v>
      </c>
      <c r="P42" s="23">
        <f ca="1">IFERROR(__xludf.DUMMYFUNCTION("""COMPUTED_VALUE"""),0)</f>
        <v>0</v>
      </c>
      <c r="Q42" s="23">
        <f ca="1">IFERROR(__xludf.DUMMYFUNCTION("""COMPUTED_VALUE"""),0)</f>
        <v>0</v>
      </c>
      <c r="R42" s="23">
        <f ca="1">IFERROR(__xludf.DUMMYFUNCTION("""COMPUTED_VALUE"""),0)</f>
        <v>0</v>
      </c>
      <c r="S42" s="23">
        <f ca="1">IFERROR(__xludf.DUMMYFUNCTION("""COMPUTED_VALUE"""),540)</f>
        <v>540</v>
      </c>
    </row>
    <row r="43" spans="1:19">
      <c r="A43" s="23" t="str">
        <f ca="1">IFERROR(__xludf.DUMMYFUNCTION("""COMPUTED_VALUE"""),"TOTAL DE LITROS DE GASOLINA DESPACHADA")</f>
        <v>TOTAL DE LITROS DE GASOLINA DESPACHADA</v>
      </c>
      <c r="B43" s="23">
        <f ca="1">IFERROR(__xludf.DUMMYFUNCTION("""COMPUTED_VALUE"""),1)</f>
        <v>1</v>
      </c>
      <c r="C43" s="23"/>
      <c r="D43" s="23" t="str">
        <f ca="1">IFERROR(__xludf.DUMMYFUNCTION("""COMPUTED_VALUE"""),"ASCENDENTE")</f>
        <v>ASCENDENTE</v>
      </c>
      <c r="E43" s="23" t="str">
        <f ca="1">IFERROR(__xludf.DUMMYFUNCTION("""COMPUTED_VALUE"""),"BITACORA OPERATIVA")</f>
        <v>BITACORA OPERATIVA</v>
      </c>
      <c r="F43" s="23">
        <f ca="1">IFERROR(__xludf.DUMMYFUNCTION("""COMPUTED_VALUE"""),0)</f>
        <v>0</v>
      </c>
      <c r="G43" s="23">
        <f ca="1">IFERROR(__xludf.DUMMYFUNCTION("""COMPUTED_VALUE"""),0)</f>
        <v>0</v>
      </c>
      <c r="H43" s="23">
        <f ca="1">IFERROR(__xludf.DUMMYFUNCTION("""COMPUTED_VALUE"""),0)</f>
        <v>0</v>
      </c>
      <c r="I43" s="23">
        <f ca="1">IFERROR(__xludf.DUMMYFUNCTION("""COMPUTED_VALUE"""),0)</f>
        <v>0</v>
      </c>
      <c r="J43" s="23">
        <f ca="1">IFERROR(__xludf.DUMMYFUNCTION("""COMPUTED_VALUE"""),23)</f>
        <v>23</v>
      </c>
      <c r="K43" s="23">
        <f ca="1">IFERROR(__xludf.DUMMYFUNCTION("""COMPUTED_VALUE"""),28)</f>
        <v>28</v>
      </c>
      <c r="L43" s="23">
        <f ca="1">IFERROR(__xludf.DUMMYFUNCTION("""COMPUTED_VALUE"""),28)</f>
        <v>28</v>
      </c>
      <c r="M43" s="23">
        <f ca="1">IFERROR(__xludf.DUMMYFUNCTION("""COMPUTED_VALUE"""),0)</f>
        <v>0</v>
      </c>
      <c r="N43" s="23">
        <f ca="1">IFERROR(__xludf.DUMMYFUNCTION("""COMPUTED_VALUE"""),0)</f>
        <v>0</v>
      </c>
      <c r="O43" s="23">
        <f ca="1">IFERROR(__xludf.DUMMYFUNCTION("""COMPUTED_VALUE"""),0)</f>
        <v>0</v>
      </c>
      <c r="P43" s="23">
        <f ca="1">IFERROR(__xludf.DUMMYFUNCTION("""COMPUTED_VALUE"""),0)</f>
        <v>0</v>
      </c>
      <c r="Q43" s="23">
        <f ca="1">IFERROR(__xludf.DUMMYFUNCTION("""COMPUTED_VALUE"""),0)</f>
        <v>0</v>
      </c>
      <c r="R43" s="23">
        <f ca="1">IFERROR(__xludf.DUMMYFUNCTION("""COMPUTED_VALUE"""),0)</f>
        <v>0</v>
      </c>
      <c r="S43" s="23">
        <f ca="1">IFERROR(__xludf.DUMMYFUNCTION("""COMPUTED_VALUE"""),79)</f>
        <v>79</v>
      </c>
    </row>
    <row r="44" spans="1:19">
      <c r="A44" s="23" t="str">
        <f ca="1">IFERROR(__xludf.DUMMYFUNCTION("""COMPUTED_VALUE"""),"VEHICULOS PARTICULARES")</f>
        <v>VEHICULOS PARTICULARES</v>
      </c>
      <c r="B44" s="23">
        <f ca="1">IFERROR(__xludf.DUMMYFUNCTION("""COMPUTED_VALUE"""),1)</f>
        <v>1</v>
      </c>
      <c r="C44" s="23"/>
      <c r="D44" s="23" t="str">
        <f ca="1">IFERROR(__xludf.DUMMYFUNCTION("""COMPUTED_VALUE"""),"ASCENDENTE")</f>
        <v>ASCENDENTE</v>
      </c>
      <c r="E44" s="23" t="str">
        <f ca="1">IFERROR(__xludf.DUMMYFUNCTION("""COMPUTED_VALUE"""),"BITACORA OPERATIVA")</f>
        <v>BITACORA OPERATIVA</v>
      </c>
      <c r="F44" s="23">
        <f ca="1">IFERROR(__xludf.DUMMYFUNCTION("""COMPUTED_VALUE"""),0)</f>
        <v>0</v>
      </c>
      <c r="G44" s="23">
        <f ca="1">IFERROR(__xludf.DUMMYFUNCTION("""COMPUTED_VALUE"""),0)</f>
        <v>0</v>
      </c>
      <c r="H44" s="23">
        <f ca="1">IFERROR(__xludf.DUMMYFUNCTION("""COMPUTED_VALUE"""),0)</f>
        <v>0</v>
      </c>
      <c r="I44" s="23">
        <f ca="1">IFERROR(__xludf.DUMMYFUNCTION("""COMPUTED_VALUE"""),0)</f>
        <v>0</v>
      </c>
      <c r="J44" s="23">
        <f ca="1">IFERROR(__xludf.DUMMYFUNCTION("""COMPUTED_VALUE"""),92)</f>
        <v>92</v>
      </c>
      <c r="K44" s="23">
        <f ca="1">IFERROR(__xludf.DUMMYFUNCTION("""COMPUTED_VALUE"""),112)</f>
        <v>112</v>
      </c>
      <c r="L44" s="23">
        <f ca="1">IFERROR(__xludf.DUMMYFUNCTION("""COMPUTED_VALUE"""),112)</f>
        <v>112</v>
      </c>
      <c r="M44" s="23">
        <f ca="1">IFERROR(__xludf.DUMMYFUNCTION("""COMPUTED_VALUE"""),0)</f>
        <v>0</v>
      </c>
      <c r="N44" s="23">
        <f ca="1">IFERROR(__xludf.DUMMYFUNCTION("""COMPUTED_VALUE"""),0)</f>
        <v>0</v>
      </c>
      <c r="O44" s="23">
        <f ca="1">IFERROR(__xludf.DUMMYFUNCTION("""COMPUTED_VALUE"""),0)</f>
        <v>0</v>
      </c>
      <c r="P44" s="23">
        <f ca="1">IFERROR(__xludf.DUMMYFUNCTION("""COMPUTED_VALUE"""),0)</f>
        <v>0</v>
      </c>
      <c r="Q44" s="23">
        <f ca="1">IFERROR(__xludf.DUMMYFUNCTION("""COMPUTED_VALUE"""),0)</f>
        <v>0</v>
      </c>
      <c r="R44" s="23">
        <f ca="1">IFERROR(__xludf.DUMMYFUNCTION("""COMPUTED_VALUE"""),0)</f>
        <v>0</v>
      </c>
      <c r="S44" s="23">
        <f ca="1">IFERROR(__xludf.DUMMYFUNCTION("""COMPUTED_VALUE"""),316)</f>
        <v>316</v>
      </c>
    </row>
    <row r="45" spans="1:19">
      <c r="A45" s="23" t="str">
        <f ca="1">IFERROR(__xludf.DUMMYFUNCTION("""COMPUTED_VALUE"""),"NÚMERO DE VECES QUE CARGARON COMBUSTIBLE")</f>
        <v>NÚMERO DE VECES QUE CARGARON COMBUSTIBLE</v>
      </c>
      <c r="B45" s="23">
        <f ca="1">IFERROR(__xludf.DUMMYFUNCTION("""COMPUTED_VALUE"""),1)</f>
        <v>1</v>
      </c>
      <c r="C45" s="23"/>
      <c r="D45" s="23" t="str">
        <f ca="1">IFERROR(__xludf.DUMMYFUNCTION("""COMPUTED_VALUE"""),"ASCENDENTE")</f>
        <v>ASCENDENTE</v>
      </c>
      <c r="E45" s="23" t="str">
        <f ca="1">IFERROR(__xludf.DUMMYFUNCTION("""COMPUTED_VALUE"""),"BITACORA OPERATIVA")</f>
        <v>BITACORA OPERATIVA</v>
      </c>
      <c r="F45" s="23">
        <f ca="1">IFERROR(__xludf.DUMMYFUNCTION("""COMPUTED_VALUE"""),0)</f>
        <v>0</v>
      </c>
      <c r="G45" s="23">
        <f ca="1">IFERROR(__xludf.DUMMYFUNCTION("""COMPUTED_VALUE"""),0)</f>
        <v>0</v>
      </c>
      <c r="H45" s="23">
        <f ca="1">IFERROR(__xludf.DUMMYFUNCTION("""COMPUTED_VALUE"""),0)</f>
        <v>0</v>
      </c>
      <c r="I45" s="23">
        <f ca="1">IFERROR(__xludf.DUMMYFUNCTION("""COMPUTED_VALUE"""),0)</f>
        <v>0</v>
      </c>
      <c r="J45" s="23">
        <f ca="1">IFERROR(__xludf.DUMMYFUNCTION("""COMPUTED_VALUE"""),1960)</f>
        <v>1960</v>
      </c>
      <c r="K45" s="23">
        <f ca="1">IFERROR(__xludf.DUMMYFUNCTION("""COMPUTED_VALUE"""),2400)</f>
        <v>2400</v>
      </c>
      <c r="L45" s="23">
        <f ca="1">IFERROR(__xludf.DUMMYFUNCTION("""COMPUTED_VALUE"""),2400)</f>
        <v>2400</v>
      </c>
      <c r="M45" s="23">
        <f ca="1">IFERROR(__xludf.DUMMYFUNCTION("""COMPUTED_VALUE"""),0)</f>
        <v>0</v>
      </c>
      <c r="N45" s="23">
        <f ca="1">IFERROR(__xludf.DUMMYFUNCTION("""COMPUTED_VALUE"""),0)</f>
        <v>0</v>
      </c>
      <c r="O45" s="23">
        <f ca="1">IFERROR(__xludf.DUMMYFUNCTION("""COMPUTED_VALUE"""),0)</f>
        <v>0</v>
      </c>
      <c r="P45" s="23">
        <f ca="1">IFERROR(__xludf.DUMMYFUNCTION("""COMPUTED_VALUE"""),0)</f>
        <v>0</v>
      </c>
      <c r="Q45" s="23">
        <f ca="1">IFERROR(__xludf.DUMMYFUNCTION("""COMPUTED_VALUE"""),0)</f>
        <v>0</v>
      </c>
      <c r="R45" s="23">
        <f ca="1">IFERROR(__xludf.DUMMYFUNCTION("""COMPUTED_VALUE"""),0)</f>
        <v>0</v>
      </c>
      <c r="S45" s="23">
        <f ca="1">IFERROR(__xludf.DUMMYFUNCTION("""COMPUTED_VALUE"""),6760)</f>
        <v>6760</v>
      </c>
    </row>
    <row r="46" spans="1:19">
      <c r="A46" s="23" t="str">
        <f ca="1">IFERROR(__xludf.DUMMYFUNCTION("""COMPUTED_VALUE"""),"TOTAL DE LITROS DE GASOLINA DESPACHADA")</f>
        <v>TOTAL DE LITROS DE GASOLINA DESPACHADA</v>
      </c>
      <c r="B46" s="23">
        <f ca="1">IFERROR(__xludf.DUMMYFUNCTION("""COMPUTED_VALUE"""),1)</f>
        <v>1</v>
      </c>
      <c r="C46" s="23"/>
      <c r="D46" s="23" t="str">
        <f ca="1">IFERROR(__xludf.DUMMYFUNCTION("""COMPUTED_VALUE"""),"ASCENDENTE")</f>
        <v>ASCENDENTE</v>
      </c>
      <c r="E46" s="23" t="str">
        <f ca="1">IFERROR(__xludf.DUMMYFUNCTION("""COMPUTED_VALUE"""),"BITACORA OPERATIVA")</f>
        <v>BITACORA OPERATIVA</v>
      </c>
      <c r="F46" s="23">
        <f ca="1">IFERROR(__xludf.DUMMYFUNCTION("""COMPUTED_VALUE"""),0)</f>
        <v>0</v>
      </c>
      <c r="G46" s="23">
        <f ca="1">IFERROR(__xludf.DUMMYFUNCTION("""COMPUTED_VALUE"""),0)</f>
        <v>0</v>
      </c>
      <c r="H46" s="23">
        <f ca="1">IFERROR(__xludf.DUMMYFUNCTION("""COMPUTED_VALUE"""),0)</f>
        <v>0</v>
      </c>
      <c r="I46" s="23">
        <f ca="1">IFERROR(__xludf.DUMMYFUNCTION("""COMPUTED_VALUE"""),0)</f>
        <v>0</v>
      </c>
      <c r="J46" s="23">
        <f ca="1">IFERROR(__xludf.DUMMYFUNCTION("""COMPUTED_VALUE"""),5)</f>
        <v>5</v>
      </c>
      <c r="K46" s="23">
        <f ca="1">IFERROR(__xludf.DUMMYFUNCTION("""COMPUTED_VALUE"""),5)</f>
        <v>5</v>
      </c>
      <c r="L46" s="23">
        <f ca="1">IFERROR(__xludf.DUMMYFUNCTION("""COMPUTED_VALUE"""),5)</f>
        <v>5</v>
      </c>
      <c r="M46" s="23">
        <f ca="1">IFERROR(__xludf.DUMMYFUNCTION("""COMPUTED_VALUE"""),0)</f>
        <v>0</v>
      </c>
      <c r="N46" s="23">
        <f ca="1">IFERROR(__xludf.DUMMYFUNCTION("""COMPUTED_VALUE"""),0)</f>
        <v>0</v>
      </c>
      <c r="O46" s="23">
        <f ca="1">IFERROR(__xludf.DUMMYFUNCTION("""COMPUTED_VALUE"""),0)</f>
        <v>0</v>
      </c>
      <c r="P46" s="23">
        <f ca="1">IFERROR(__xludf.DUMMYFUNCTION("""COMPUTED_VALUE"""),0)</f>
        <v>0</v>
      </c>
      <c r="Q46" s="23">
        <f ca="1">IFERROR(__xludf.DUMMYFUNCTION("""COMPUTED_VALUE"""),0)</f>
        <v>0</v>
      </c>
      <c r="R46" s="23">
        <f ca="1">IFERROR(__xludf.DUMMYFUNCTION("""COMPUTED_VALUE"""),0)</f>
        <v>0</v>
      </c>
      <c r="S46" s="23">
        <f ca="1">IFERROR(__xludf.DUMMYFUNCTION("""COMPUTED_VALUE"""),15)</f>
        <v>15</v>
      </c>
    </row>
    <row r="47" spans="1:19">
      <c r="A47" s="23" t="str">
        <f ca="1">IFERROR(__xludf.DUMMYFUNCTION("""COMPUTED_VALUE"""),"MOTOCICLETAS PARTICULARES")</f>
        <v>MOTOCICLETAS PARTICULARES</v>
      </c>
      <c r="B47" s="23">
        <f ca="1">IFERROR(__xludf.DUMMYFUNCTION("""COMPUTED_VALUE"""),1)</f>
        <v>1</v>
      </c>
      <c r="C47" s="23"/>
      <c r="D47" s="23" t="str">
        <f ca="1">IFERROR(__xludf.DUMMYFUNCTION("""COMPUTED_VALUE"""),"ASCENDENTE")</f>
        <v>ASCENDENTE</v>
      </c>
      <c r="E47" s="23" t="str">
        <f ca="1">IFERROR(__xludf.DUMMYFUNCTION("""COMPUTED_VALUE"""),"BITACORA OPERATIVA")</f>
        <v>BITACORA OPERATIVA</v>
      </c>
      <c r="F47" s="23">
        <f ca="1">IFERROR(__xludf.DUMMYFUNCTION("""COMPUTED_VALUE"""),0)</f>
        <v>0</v>
      </c>
      <c r="G47" s="23">
        <f ca="1">IFERROR(__xludf.DUMMYFUNCTION("""COMPUTED_VALUE"""),0)</f>
        <v>0</v>
      </c>
      <c r="H47" s="23">
        <f ca="1">IFERROR(__xludf.DUMMYFUNCTION("""COMPUTED_VALUE"""),0)</f>
        <v>0</v>
      </c>
      <c r="I47" s="23">
        <f ca="1">IFERROR(__xludf.DUMMYFUNCTION("""COMPUTED_VALUE"""),0)</f>
        <v>0</v>
      </c>
      <c r="J47" s="23">
        <f ca="1">IFERROR(__xludf.DUMMYFUNCTION("""COMPUTED_VALUE"""),20)</f>
        <v>20</v>
      </c>
      <c r="K47" s="23">
        <f ca="1">IFERROR(__xludf.DUMMYFUNCTION("""COMPUTED_VALUE"""),20)</f>
        <v>20</v>
      </c>
      <c r="L47" s="23">
        <f ca="1">IFERROR(__xludf.DUMMYFUNCTION("""COMPUTED_VALUE"""),20)</f>
        <v>20</v>
      </c>
      <c r="M47" s="23">
        <f ca="1">IFERROR(__xludf.DUMMYFUNCTION("""COMPUTED_VALUE"""),0)</f>
        <v>0</v>
      </c>
      <c r="N47" s="23">
        <f ca="1">IFERROR(__xludf.DUMMYFUNCTION("""COMPUTED_VALUE"""),0)</f>
        <v>0</v>
      </c>
      <c r="O47" s="23">
        <f ca="1">IFERROR(__xludf.DUMMYFUNCTION("""COMPUTED_VALUE"""),0)</f>
        <v>0</v>
      </c>
      <c r="P47" s="23">
        <f ca="1">IFERROR(__xludf.DUMMYFUNCTION("""COMPUTED_VALUE"""),0)</f>
        <v>0</v>
      </c>
      <c r="Q47" s="23">
        <f ca="1">IFERROR(__xludf.DUMMYFUNCTION("""COMPUTED_VALUE"""),0)</f>
        <v>0</v>
      </c>
      <c r="R47" s="23">
        <f ca="1">IFERROR(__xludf.DUMMYFUNCTION("""COMPUTED_VALUE"""),0)</f>
        <v>0</v>
      </c>
      <c r="S47" s="23">
        <f ca="1">IFERROR(__xludf.DUMMYFUNCTION("""COMPUTED_VALUE"""),60)</f>
        <v>60</v>
      </c>
    </row>
    <row r="48" spans="1:19">
      <c r="A48" s="23" t="str">
        <f ca="1">IFERROR(__xludf.DUMMYFUNCTION("""COMPUTED_VALUE"""),"NÚMERO DE VECES QUE CARGARON COMBUSTIBLE")</f>
        <v>NÚMERO DE VECES QUE CARGARON COMBUSTIBLE</v>
      </c>
      <c r="B48" s="23">
        <f ca="1">IFERROR(__xludf.DUMMYFUNCTION("""COMPUTED_VALUE"""),1)</f>
        <v>1</v>
      </c>
      <c r="C48" s="23"/>
      <c r="D48" s="23" t="str">
        <f ca="1">IFERROR(__xludf.DUMMYFUNCTION("""COMPUTED_VALUE"""),"ASCENDENTE")</f>
        <v>ASCENDENTE</v>
      </c>
      <c r="E48" s="23" t="str">
        <f ca="1">IFERROR(__xludf.DUMMYFUNCTION("""COMPUTED_VALUE"""),"BITACORA OPERATIVA")</f>
        <v>BITACORA OPERATIVA</v>
      </c>
      <c r="F48" s="23">
        <f ca="1">IFERROR(__xludf.DUMMYFUNCTION("""COMPUTED_VALUE"""),0)</f>
        <v>0</v>
      </c>
      <c r="G48" s="23">
        <f ca="1">IFERROR(__xludf.DUMMYFUNCTION("""COMPUTED_VALUE"""),0)</f>
        <v>0</v>
      </c>
      <c r="H48" s="23">
        <f ca="1">IFERROR(__xludf.DUMMYFUNCTION("""COMPUTED_VALUE"""),0)</f>
        <v>0</v>
      </c>
      <c r="I48" s="23">
        <f ca="1">IFERROR(__xludf.DUMMYFUNCTION("""COMPUTED_VALUE"""),0)</f>
        <v>0</v>
      </c>
      <c r="J48" s="23">
        <f ca="1">IFERROR(__xludf.DUMMYFUNCTION("""COMPUTED_VALUE"""),160)</f>
        <v>160</v>
      </c>
      <c r="K48" s="23">
        <f ca="1">IFERROR(__xludf.DUMMYFUNCTION("""COMPUTED_VALUE"""),160)</f>
        <v>160</v>
      </c>
      <c r="L48" s="23">
        <f ca="1">IFERROR(__xludf.DUMMYFUNCTION("""COMPUTED_VALUE"""),160)</f>
        <v>160</v>
      </c>
      <c r="M48" s="23">
        <f ca="1">IFERROR(__xludf.DUMMYFUNCTION("""COMPUTED_VALUE"""),0)</f>
        <v>0</v>
      </c>
      <c r="N48" s="23">
        <f ca="1">IFERROR(__xludf.DUMMYFUNCTION("""COMPUTED_VALUE"""),0)</f>
        <v>0</v>
      </c>
      <c r="O48" s="23">
        <f ca="1">IFERROR(__xludf.DUMMYFUNCTION("""COMPUTED_VALUE"""),0)</f>
        <v>0</v>
      </c>
      <c r="P48" s="23">
        <f ca="1">IFERROR(__xludf.DUMMYFUNCTION("""COMPUTED_VALUE"""),0)</f>
        <v>0</v>
      </c>
      <c r="Q48" s="23">
        <f ca="1">IFERROR(__xludf.DUMMYFUNCTION("""COMPUTED_VALUE"""),0)</f>
        <v>0</v>
      </c>
      <c r="R48" s="23">
        <f ca="1">IFERROR(__xludf.DUMMYFUNCTION("""COMPUTED_VALUE"""),0)</f>
        <v>0</v>
      </c>
      <c r="S48" s="23">
        <f ca="1">IFERROR(__xludf.DUMMYFUNCTION("""COMPUTED_VALUE"""),480)</f>
        <v>480</v>
      </c>
    </row>
    <row r="49" spans="1:19">
      <c r="A49" s="23" t="str">
        <f ca="1">IFERROR(__xludf.DUMMYFUNCTION("""COMPUTED_VALUE"""),"TOTAL DE LITROS DE GASOLINA DESPACHADA")</f>
        <v>TOTAL DE LITROS DE GASOLINA DESPACHADA</v>
      </c>
      <c r="B49" s="23">
        <f ca="1">IFERROR(__xludf.DUMMYFUNCTION("""COMPUTED_VALUE"""),1)</f>
        <v>1</v>
      </c>
      <c r="C49" s="23"/>
      <c r="D49" s="23" t="str">
        <f ca="1">IFERROR(__xludf.DUMMYFUNCTION("""COMPUTED_VALUE"""),"ASCENDENTE")</f>
        <v>ASCENDENTE</v>
      </c>
      <c r="E49" s="23" t="str">
        <f ca="1">IFERROR(__xludf.DUMMYFUNCTION("""COMPUTED_VALUE"""),"BITACORA OPERATIVA")</f>
        <v>BITACORA OPERATIVA</v>
      </c>
      <c r="F49" s="23">
        <f ca="1">IFERROR(__xludf.DUMMYFUNCTION("""COMPUTED_VALUE"""),0)</f>
        <v>0</v>
      </c>
      <c r="G49" s="23">
        <f ca="1">IFERROR(__xludf.DUMMYFUNCTION("""COMPUTED_VALUE"""),0)</f>
        <v>0</v>
      </c>
      <c r="H49" s="23">
        <f ca="1">IFERROR(__xludf.DUMMYFUNCTION("""COMPUTED_VALUE"""),0)</f>
        <v>0</v>
      </c>
      <c r="I49" s="23">
        <f ca="1">IFERROR(__xludf.DUMMYFUNCTION("""COMPUTED_VALUE"""),0)</f>
        <v>0</v>
      </c>
      <c r="J49" s="23">
        <f ca="1">IFERROR(__xludf.DUMMYFUNCTION("""COMPUTED_VALUE"""),164)</f>
        <v>164</v>
      </c>
      <c r="K49" s="23">
        <f ca="1">IFERROR(__xludf.DUMMYFUNCTION("""COMPUTED_VALUE"""),185)</f>
        <v>185</v>
      </c>
      <c r="L49" s="23">
        <f ca="1">IFERROR(__xludf.DUMMYFUNCTION("""COMPUTED_VALUE"""),185)</f>
        <v>185</v>
      </c>
      <c r="M49" s="23">
        <f ca="1">IFERROR(__xludf.DUMMYFUNCTION("""COMPUTED_VALUE"""),0)</f>
        <v>0</v>
      </c>
      <c r="N49" s="23">
        <f ca="1">IFERROR(__xludf.DUMMYFUNCTION("""COMPUTED_VALUE"""),0)</f>
        <v>0</v>
      </c>
      <c r="O49" s="23">
        <f ca="1">IFERROR(__xludf.DUMMYFUNCTION("""COMPUTED_VALUE"""),0)</f>
        <v>0</v>
      </c>
      <c r="P49" s="23">
        <f ca="1">IFERROR(__xludf.DUMMYFUNCTION("""COMPUTED_VALUE"""),0)</f>
        <v>0</v>
      </c>
      <c r="Q49" s="23">
        <f ca="1">IFERROR(__xludf.DUMMYFUNCTION("""COMPUTED_VALUE"""),0)</f>
        <v>0</v>
      </c>
      <c r="R49" s="23">
        <f ca="1">IFERROR(__xludf.DUMMYFUNCTION("""COMPUTED_VALUE"""),0)</f>
        <v>0</v>
      </c>
      <c r="S49" s="23">
        <f ca="1">IFERROR(__xludf.DUMMYFUNCTION("""COMPUTED_VALUE"""),534)</f>
        <v>534</v>
      </c>
    </row>
    <row r="50" spans="1:19">
      <c r="A50" s="23" t="str">
        <f ca="1">IFERROR(__xludf.DUMMYFUNCTION("""COMPUTED_VALUE"""),"TOTAL  DE  NOTAS PARA FACTURAR")</f>
        <v>TOTAL  DE  NOTAS PARA FACTURAR</v>
      </c>
      <c r="B50" s="23">
        <f ca="1">IFERROR(__xludf.DUMMYFUNCTION("""COMPUTED_VALUE"""),1)</f>
        <v>1</v>
      </c>
      <c r="C50" s="23"/>
      <c r="D50" s="23" t="str">
        <f ca="1">IFERROR(__xludf.DUMMYFUNCTION("""COMPUTED_VALUE"""),"ASCENDENTE")</f>
        <v>ASCENDENTE</v>
      </c>
      <c r="E50" s="23" t="str">
        <f ca="1">IFERROR(__xludf.DUMMYFUNCTION("""COMPUTED_VALUE"""),"BITACORA OPERATIVA")</f>
        <v>BITACORA OPERATIVA</v>
      </c>
      <c r="F50" s="23">
        <f ca="1">IFERROR(__xludf.DUMMYFUNCTION("""COMPUTED_VALUE"""),0)</f>
        <v>0</v>
      </c>
      <c r="G50" s="23">
        <f ca="1">IFERROR(__xludf.DUMMYFUNCTION("""COMPUTED_VALUE"""),0)</f>
        <v>0</v>
      </c>
      <c r="H50" s="23">
        <f ca="1">IFERROR(__xludf.DUMMYFUNCTION("""COMPUTED_VALUE"""),0)</f>
        <v>0</v>
      </c>
      <c r="I50" s="23">
        <f ca="1">IFERROR(__xludf.DUMMYFUNCTION("""COMPUTED_VALUE"""),0)</f>
        <v>0</v>
      </c>
      <c r="J50" s="23">
        <f ca="1">IFERROR(__xludf.DUMMYFUNCTION("""COMPUTED_VALUE"""),1491026)</f>
        <v>1491026</v>
      </c>
      <c r="K50" s="23">
        <f ca="1">IFERROR(__xludf.DUMMYFUNCTION("""COMPUTED_VALUE"""),1716096)</f>
        <v>1716096</v>
      </c>
      <c r="L50" s="23">
        <f ca="1">IFERROR(__xludf.DUMMYFUNCTION("""COMPUTED_VALUE"""),1812310)</f>
        <v>1812310</v>
      </c>
      <c r="M50" s="23">
        <f ca="1">IFERROR(__xludf.DUMMYFUNCTION("""COMPUTED_VALUE"""),0)</f>
        <v>0</v>
      </c>
      <c r="N50" s="23">
        <f ca="1">IFERROR(__xludf.DUMMYFUNCTION("""COMPUTED_VALUE"""),0)</f>
        <v>0</v>
      </c>
      <c r="O50" s="23">
        <f ca="1">IFERROR(__xludf.DUMMYFUNCTION("""COMPUTED_VALUE"""),0)</f>
        <v>0</v>
      </c>
      <c r="P50" s="23">
        <f ca="1">IFERROR(__xludf.DUMMYFUNCTION("""COMPUTED_VALUE"""),0)</f>
        <v>0</v>
      </c>
      <c r="Q50" s="23">
        <f ca="1">IFERROR(__xludf.DUMMYFUNCTION("""COMPUTED_VALUE"""),0)</f>
        <v>0</v>
      </c>
      <c r="R50" s="23">
        <f ca="1">IFERROR(__xludf.DUMMYFUNCTION("""COMPUTED_VALUE"""),0)</f>
        <v>0</v>
      </c>
      <c r="S50" s="23">
        <f ca="1">IFERROR(__xludf.DUMMYFUNCTION("""COMPUTED_VALUE"""),5019432)</f>
        <v>5019432</v>
      </c>
    </row>
    <row r="51" spans="1:19">
      <c r="A51" s="23" t="str">
        <f ca="1">IFERROR(__xludf.DUMMYFUNCTION("""COMPUTED_VALUE"""),"MONTO MENSUAL A PAGAR (EN PESOS)")</f>
        <v>MONTO MENSUAL A PAGAR (EN PESOS)</v>
      </c>
      <c r="B51" s="23">
        <f ca="1">IFERROR(__xludf.DUMMYFUNCTION("""COMPUTED_VALUE"""),1)</f>
        <v>1</v>
      </c>
      <c r="C51" s="23"/>
      <c r="D51" s="23" t="str">
        <f ca="1">IFERROR(__xludf.DUMMYFUNCTION("""COMPUTED_VALUE"""),"ASCENDENTE")</f>
        <v>ASCENDENTE</v>
      </c>
      <c r="E51" s="23" t="str">
        <f ca="1">IFERROR(__xludf.DUMMYFUNCTION("""COMPUTED_VALUE"""),"BITACORA OPERATIVA")</f>
        <v>BITACORA OPERATIVA</v>
      </c>
      <c r="F51" s="23">
        <f ca="1">IFERROR(__xludf.DUMMYFUNCTION("""COMPUTED_VALUE"""),0)</f>
        <v>0</v>
      </c>
      <c r="G51" s="23">
        <f ca="1">IFERROR(__xludf.DUMMYFUNCTION("""COMPUTED_VALUE"""),0)</f>
        <v>0</v>
      </c>
      <c r="H51" s="23">
        <f ca="1">IFERROR(__xludf.DUMMYFUNCTION("""COMPUTED_VALUE"""),0)</f>
        <v>0</v>
      </c>
      <c r="I51" s="23">
        <f ca="1">IFERROR(__xludf.DUMMYFUNCTION("""COMPUTED_VALUE"""),0)</f>
        <v>0</v>
      </c>
      <c r="J51" s="23">
        <f ca="1">IFERROR(__xludf.DUMMYFUNCTION("""COMPUTED_VALUE"""),45)</f>
        <v>45</v>
      </c>
      <c r="K51" s="23">
        <f ca="1">IFERROR(__xludf.DUMMYFUNCTION("""COMPUTED_VALUE"""),45)</f>
        <v>45</v>
      </c>
      <c r="L51" s="23">
        <f ca="1">IFERROR(__xludf.DUMMYFUNCTION("""COMPUTED_VALUE"""),45)</f>
        <v>45</v>
      </c>
      <c r="M51" s="23">
        <f ca="1">IFERROR(__xludf.DUMMYFUNCTION("""COMPUTED_VALUE"""),0)</f>
        <v>0</v>
      </c>
      <c r="N51" s="23">
        <f ca="1">IFERROR(__xludf.DUMMYFUNCTION("""COMPUTED_VALUE"""),0)</f>
        <v>0</v>
      </c>
      <c r="O51" s="23">
        <f ca="1">IFERROR(__xludf.DUMMYFUNCTION("""COMPUTED_VALUE"""),0)</f>
        <v>0</v>
      </c>
      <c r="P51" s="23">
        <f ca="1">IFERROR(__xludf.DUMMYFUNCTION("""COMPUTED_VALUE"""),0)</f>
        <v>0</v>
      </c>
      <c r="Q51" s="23">
        <f ca="1">IFERROR(__xludf.DUMMYFUNCTION("""COMPUTED_VALUE"""),0)</f>
        <v>0</v>
      </c>
      <c r="R51" s="23">
        <f ca="1">IFERROR(__xludf.DUMMYFUNCTION("""COMPUTED_VALUE"""),0)</f>
        <v>0</v>
      </c>
      <c r="S51" s="23">
        <f ca="1">IFERROR(__xludf.DUMMYFUNCTION("""COMPUTED_VALUE"""),135)</f>
        <v>135</v>
      </c>
    </row>
    <row r="52" spans="1:19">
      <c r="A52" s="23" t="str">
        <f ca="1">IFERROR(__xludf.DUMMYFUNCTION("""COMPUTED_VALUE"""),"VEHICULOS OFICIALES A DIESEL")</f>
        <v>VEHICULOS OFICIALES A DIESEL</v>
      </c>
      <c r="B52" s="23">
        <f ca="1">IFERROR(__xludf.DUMMYFUNCTION("""COMPUTED_VALUE"""),1)</f>
        <v>1</v>
      </c>
      <c r="C52" s="23"/>
      <c r="D52" s="23" t="str">
        <f ca="1">IFERROR(__xludf.DUMMYFUNCTION("""COMPUTED_VALUE"""),"ASCENDENTE")</f>
        <v>ASCENDENTE</v>
      </c>
      <c r="E52" s="23" t="str">
        <f ca="1">IFERROR(__xludf.DUMMYFUNCTION("""COMPUTED_VALUE"""),"BITACORA OPERATIVA")</f>
        <v>BITACORA OPERATIVA</v>
      </c>
      <c r="F52" s="23">
        <f ca="1">IFERROR(__xludf.DUMMYFUNCTION("""COMPUTED_VALUE"""),0)</f>
        <v>0</v>
      </c>
      <c r="G52" s="23">
        <f ca="1">IFERROR(__xludf.DUMMYFUNCTION("""COMPUTED_VALUE"""),0)</f>
        <v>0</v>
      </c>
      <c r="H52" s="23">
        <f ca="1">IFERROR(__xludf.DUMMYFUNCTION("""COMPUTED_VALUE"""),0)</f>
        <v>0</v>
      </c>
      <c r="I52" s="23">
        <f ca="1">IFERROR(__xludf.DUMMYFUNCTION("""COMPUTED_VALUE"""),0)</f>
        <v>0</v>
      </c>
      <c r="J52" s="23">
        <f ca="1">IFERROR(__xludf.DUMMYFUNCTION("""COMPUTED_VALUE"""),13271)</f>
        <v>13271</v>
      </c>
      <c r="K52" s="23">
        <f ca="1">IFERROR(__xludf.DUMMYFUNCTION("""COMPUTED_VALUE"""),15834)</f>
        <v>15834</v>
      </c>
      <c r="L52" s="23">
        <f ca="1">IFERROR(__xludf.DUMMYFUNCTION("""COMPUTED_VALUE"""),17889)</f>
        <v>17889</v>
      </c>
      <c r="M52" s="23">
        <f ca="1">IFERROR(__xludf.DUMMYFUNCTION("""COMPUTED_VALUE"""),0)</f>
        <v>0</v>
      </c>
      <c r="N52" s="23">
        <f ca="1">IFERROR(__xludf.DUMMYFUNCTION("""COMPUTED_VALUE"""),0)</f>
        <v>0</v>
      </c>
      <c r="O52" s="23">
        <f ca="1">IFERROR(__xludf.DUMMYFUNCTION("""COMPUTED_VALUE"""),0)</f>
        <v>0</v>
      </c>
      <c r="P52" s="23">
        <f ca="1">IFERROR(__xludf.DUMMYFUNCTION("""COMPUTED_VALUE"""),0)</f>
        <v>0</v>
      </c>
      <c r="Q52" s="23">
        <f ca="1">IFERROR(__xludf.DUMMYFUNCTION("""COMPUTED_VALUE"""),0)</f>
        <v>0</v>
      </c>
      <c r="R52" s="23">
        <f ca="1">IFERROR(__xludf.DUMMYFUNCTION("""COMPUTED_VALUE"""),0)</f>
        <v>0</v>
      </c>
      <c r="S52" s="23">
        <f ca="1">IFERROR(__xludf.DUMMYFUNCTION("""COMPUTED_VALUE"""),46994)</f>
        <v>46994</v>
      </c>
    </row>
    <row r="53" spans="1:19">
      <c r="A53" s="23" t="str">
        <f ca="1">IFERROR(__xludf.DUMMYFUNCTION("""COMPUTED_VALUE"""),"NÚMERO DE VECES QUE CARGARON COMBUSTIBLE")</f>
        <v>NÚMERO DE VECES QUE CARGARON COMBUSTIBLE</v>
      </c>
      <c r="B53" s="23">
        <f ca="1">IFERROR(__xludf.DUMMYFUNCTION("""COMPUTED_VALUE"""),1)</f>
        <v>1</v>
      </c>
      <c r="C53" s="23"/>
      <c r="D53" s="23" t="str">
        <f ca="1">IFERROR(__xludf.DUMMYFUNCTION("""COMPUTED_VALUE"""),"ASCENDENTE")</f>
        <v>ASCENDENTE</v>
      </c>
      <c r="E53" s="23" t="str">
        <f ca="1">IFERROR(__xludf.DUMMYFUNCTION("""COMPUTED_VALUE"""),"BITACORA OPERATIVA")</f>
        <v>BITACORA OPERATIVA</v>
      </c>
      <c r="F53" s="23">
        <f ca="1">IFERROR(__xludf.DUMMYFUNCTION("""COMPUTED_VALUE"""),0)</f>
        <v>0</v>
      </c>
      <c r="G53" s="23">
        <f ca="1">IFERROR(__xludf.DUMMYFUNCTION("""COMPUTED_VALUE"""),0)</f>
        <v>0</v>
      </c>
      <c r="H53" s="23">
        <f ca="1">IFERROR(__xludf.DUMMYFUNCTION("""COMPUTED_VALUE"""),0)</f>
        <v>0</v>
      </c>
      <c r="I53" s="23">
        <f ca="1">IFERROR(__xludf.DUMMYFUNCTION("""COMPUTED_VALUE"""),0)</f>
        <v>0</v>
      </c>
      <c r="J53" s="23">
        <f ca="1">IFERROR(__xludf.DUMMYFUNCTION("""COMPUTED_VALUE"""),57)</f>
        <v>57</v>
      </c>
      <c r="K53" s="23">
        <f ca="1">IFERROR(__xludf.DUMMYFUNCTION("""COMPUTED_VALUE"""),61)</f>
        <v>61</v>
      </c>
      <c r="L53" s="23">
        <f ca="1">IFERROR(__xludf.DUMMYFUNCTION("""COMPUTED_VALUE"""),63)</f>
        <v>63</v>
      </c>
      <c r="M53" s="23">
        <f ca="1">IFERROR(__xludf.DUMMYFUNCTION("""COMPUTED_VALUE"""),0)</f>
        <v>0</v>
      </c>
      <c r="N53" s="23">
        <f ca="1">IFERROR(__xludf.DUMMYFUNCTION("""COMPUTED_VALUE"""),0)</f>
        <v>0</v>
      </c>
      <c r="O53" s="23">
        <f ca="1">IFERROR(__xludf.DUMMYFUNCTION("""COMPUTED_VALUE"""),0)</f>
        <v>0</v>
      </c>
      <c r="P53" s="23">
        <f ca="1">IFERROR(__xludf.DUMMYFUNCTION("""COMPUTED_VALUE"""),0)</f>
        <v>0</v>
      </c>
      <c r="Q53" s="23">
        <f ca="1">IFERROR(__xludf.DUMMYFUNCTION("""COMPUTED_VALUE"""),0)</f>
        <v>0</v>
      </c>
      <c r="R53" s="23">
        <f ca="1">IFERROR(__xludf.DUMMYFUNCTION("""COMPUTED_VALUE"""),0)</f>
        <v>0</v>
      </c>
      <c r="S53" s="23">
        <f ca="1">IFERROR(__xludf.DUMMYFUNCTION("""COMPUTED_VALUE"""),181)</f>
        <v>181</v>
      </c>
    </row>
    <row r="54" spans="1:19">
      <c r="A54" s="23" t="str">
        <f ca="1">IFERROR(__xludf.DUMMYFUNCTION("""COMPUTED_VALUE"""),"TOTAL DE LITROS DE DIESEL DESPACHADO")</f>
        <v>TOTAL DE LITROS DE DIESEL DESPACHADO</v>
      </c>
      <c r="B54" s="23">
        <f ca="1">IFERROR(__xludf.DUMMYFUNCTION("""COMPUTED_VALUE"""),1)</f>
        <v>1</v>
      </c>
      <c r="C54" s="23"/>
      <c r="D54" s="23" t="str">
        <f ca="1">IFERROR(__xludf.DUMMYFUNCTION("""COMPUTED_VALUE"""),"ASCENDENTE")</f>
        <v>ASCENDENTE</v>
      </c>
      <c r="E54" s="23" t="str">
        <f ca="1">IFERROR(__xludf.DUMMYFUNCTION("""COMPUTED_VALUE"""),"BITACORA OPERATIVA")</f>
        <v>BITACORA OPERATIVA</v>
      </c>
      <c r="F54" s="23">
        <f ca="1">IFERROR(__xludf.DUMMYFUNCTION("""COMPUTED_VALUE"""),0)</f>
        <v>0</v>
      </c>
      <c r="G54" s="23">
        <f ca="1">IFERROR(__xludf.DUMMYFUNCTION("""COMPUTED_VALUE"""),0)</f>
        <v>0</v>
      </c>
      <c r="H54" s="23">
        <f ca="1">IFERROR(__xludf.DUMMYFUNCTION("""COMPUTED_VALUE"""),0)</f>
        <v>0</v>
      </c>
      <c r="I54" s="23">
        <f ca="1">IFERROR(__xludf.DUMMYFUNCTION("""COMPUTED_VALUE"""),0)</f>
        <v>0</v>
      </c>
      <c r="J54" s="23">
        <f ca="1">IFERROR(__xludf.DUMMYFUNCTION("""COMPUTED_VALUE"""),34)</f>
        <v>34</v>
      </c>
      <c r="K54" s="23">
        <f ca="1">IFERROR(__xludf.DUMMYFUNCTION("""COMPUTED_VALUE"""),34)</f>
        <v>34</v>
      </c>
      <c r="L54" s="23">
        <f ca="1">IFERROR(__xludf.DUMMYFUNCTION("""COMPUTED_VALUE"""),29)</f>
        <v>29</v>
      </c>
      <c r="M54" s="23">
        <f ca="1">IFERROR(__xludf.DUMMYFUNCTION("""COMPUTED_VALUE"""),0)</f>
        <v>0</v>
      </c>
      <c r="N54" s="23">
        <f ca="1">IFERROR(__xludf.DUMMYFUNCTION("""COMPUTED_VALUE"""),0)</f>
        <v>0</v>
      </c>
      <c r="O54" s="23">
        <f ca="1">IFERROR(__xludf.DUMMYFUNCTION("""COMPUTED_VALUE"""),0)</f>
        <v>0</v>
      </c>
      <c r="P54" s="23">
        <f ca="1">IFERROR(__xludf.DUMMYFUNCTION("""COMPUTED_VALUE"""),0)</f>
        <v>0</v>
      </c>
      <c r="Q54" s="23">
        <f ca="1">IFERROR(__xludf.DUMMYFUNCTION("""COMPUTED_VALUE"""),0)</f>
        <v>0</v>
      </c>
      <c r="R54" s="23">
        <f ca="1">IFERROR(__xludf.DUMMYFUNCTION("""COMPUTED_VALUE"""),0)</f>
        <v>0</v>
      </c>
      <c r="S54" s="23">
        <f ca="1">IFERROR(__xludf.DUMMYFUNCTION("""COMPUTED_VALUE"""),97)</f>
        <v>97</v>
      </c>
    </row>
    <row r="55" spans="1:19">
      <c r="A55" s="23" t="str">
        <f ca="1">IFERROR(__xludf.DUMMYFUNCTION("""COMPUTED_VALUE"""),"VEHICULOS DE SEGURIDAD PUBLICA")</f>
        <v>VEHICULOS DE SEGURIDAD PUBLICA</v>
      </c>
      <c r="B55" s="23">
        <f ca="1">IFERROR(__xludf.DUMMYFUNCTION("""COMPUTED_VALUE"""),1)</f>
        <v>1</v>
      </c>
      <c r="C55" s="23"/>
      <c r="D55" s="23" t="str">
        <f ca="1">IFERROR(__xludf.DUMMYFUNCTION("""COMPUTED_VALUE"""),"ASCENDENTE")</f>
        <v>ASCENDENTE</v>
      </c>
      <c r="E55" s="23" t="str">
        <f ca="1">IFERROR(__xludf.DUMMYFUNCTION("""COMPUTED_VALUE"""),"BITACORA OPERATIVA")</f>
        <v>BITACORA OPERATIVA</v>
      </c>
      <c r="F55" s="23">
        <f ca="1">IFERROR(__xludf.DUMMYFUNCTION("""COMPUTED_VALUE"""),0)</f>
        <v>0</v>
      </c>
      <c r="G55" s="23">
        <f ca="1">IFERROR(__xludf.DUMMYFUNCTION("""COMPUTED_VALUE"""),0)</f>
        <v>0</v>
      </c>
      <c r="H55" s="23">
        <f ca="1">IFERROR(__xludf.DUMMYFUNCTION("""COMPUTED_VALUE"""),0)</f>
        <v>0</v>
      </c>
      <c r="I55" s="23">
        <f ca="1">IFERROR(__xludf.DUMMYFUNCTION("""COMPUTED_VALUE"""),0)</f>
        <v>0</v>
      </c>
      <c r="J55" s="23">
        <f ca="1">IFERROR(__xludf.DUMMYFUNCTION("""COMPUTED_VALUE"""),16)</f>
        <v>16</v>
      </c>
      <c r="K55" s="23">
        <f ca="1">IFERROR(__xludf.DUMMYFUNCTION("""COMPUTED_VALUE"""),16)</f>
        <v>16</v>
      </c>
      <c r="L55" s="23">
        <f ca="1">IFERROR(__xludf.DUMMYFUNCTION("""COMPUTED_VALUE"""),12)</f>
        <v>12</v>
      </c>
      <c r="M55" s="23">
        <f ca="1">IFERROR(__xludf.DUMMYFUNCTION("""COMPUTED_VALUE"""),0)</f>
        <v>0</v>
      </c>
      <c r="N55" s="23">
        <f ca="1">IFERROR(__xludf.DUMMYFUNCTION("""COMPUTED_VALUE"""),0)</f>
        <v>0</v>
      </c>
      <c r="O55" s="23">
        <f ca="1">IFERROR(__xludf.DUMMYFUNCTION("""COMPUTED_VALUE"""),0)</f>
        <v>0</v>
      </c>
      <c r="P55" s="23">
        <f ca="1">IFERROR(__xludf.DUMMYFUNCTION("""COMPUTED_VALUE"""),0)</f>
        <v>0</v>
      </c>
      <c r="Q55" s="23">
        <f ca="1">IFERROR(__xludf.DUMMYFUNCTION("""COMPUTED_VALUE"""),0)</f>
        <v>0</v>
      </c>
      <c r="R55" s="23">
        <f ca="1">IFERROR(__xludf.DUMMYFUNCTION("""COMPUTED_VALUE"""),0)</f>
        <v>0</v>
      </c>
      <c r="S55" s="23">
        <f ca="1">IFERROR(__xludf.DUMMYFUNCTION("""COMPUTED_VALUE"""),44)</f>
        <v>44</v>
      </c>
    </row>
    <row r="56" spans="1:19">
      <c r="A56" s="23" t="str">
        <f ca="1">IFERROR(__xludf.DUMMYFUNCTION("""COMPUTED_VALUE"""),"MOTOCICLETAS DE SEGURIDAD PUBLICA")</f>
        <v>MOTOCICLETAS DE SEGURIDAD PUBLICA</v>
      </c>
      <c r="B56" s="23">
        <f ca="1">IFERROR(__xludf.DUMMYFUNCTION("""COMPUTED_VALUE"""),1)</f>
        <v>1</v>
      </c>
      <c r="C56" s="23"/>
      <c r="D56" s="23" t="str">
        <f ca="1">IFERROR(__xludf.DUMMYFUNCTION("""COMPUTED_VALUE"""),"ASCENDENTE")</f>
        <v>ASCENDENTE</v>
      </c>
      <c r="E56" s="23" t="str">
        <f ca="1">IFERROR(__xludf.DUMMYFUNCTION("""COMPUTED_VALUE"""),"BITACORA OPERATIVA")</f>
        <v>BITACORA OPERATIVA</v>
      </c>
      <c r="F56" s="23">
        <f ca="1">IFERROR(__xludf.DUMMYFUNCTION("""COMPUTED_VALUE"""),0)</f>
        <v>0</v>
      </c>
      <c r="G56" s="23">
        <f ca="1">IFERROR(__xludf.DUMMYFUNCTION("""COMPUTED_VALUE"""),0)</f>
        <v>0</v>
      </c>
      <c r="H56" s="23">
        <f ca="1">IFERROR(__xludf.DUMMYFUNCTION("""COMPUTED_VALUE"""),0)</f>
        <v>0</v>
      </c>
      <c r="I56" s="23">
        <f ca="1">IFERROR(__xludf.DUMMYFUNCTION("""COMPUTED_VALUE"""),0)</f>
        <v>0</v>
      </c>
      <c r="J56" s="23">
        <f ca="1">IFERROR(__xludf.DUMMYFUNCTION("""COMPUTED_VALUE"""),5)</f>
        <v>5</v>
      </c>
      <c r="K56" s="23">
        <f ca="1">IFERROR(__xludf.DUMMYFUNCTION("""COMPUTED_VALUE"""),6)</f>
        <v>6</v>
      </c>
      <c r="L56" s="23">
        <f ca="1">IFERROR(__xludf.DUMMYFUNCTION("""COMPUTED_VALUE"""),5)</f>
        <v>5</v>
      </c>
      <c r="M56" s="23">
        <f ca="1">IFERROR(__xludf.DUMMYFUNCTION("""COMPUTED_VALUE"""),0)</f>
        <v>0</v>
      </c>
      <c r="N56" s="23">
        <f ca="1">IFERROR(__xludf.DUMMYFUNCTION("""COMPUTED_VALUE"""),0)</f>
        <v>0</v>
      </c>
      <c r="O56" s="23">
        <f ca="1">IFERROR(__xludf.DUMMYFUNCTION("""COMPUTED_VALUE"""),0)</f>
        <v>0</v>
      </c>
      <c r="P56" s="23">
        <f ca="1">IFERROR(__xludf.DUMMYFUNCTION("""COMPUTED_VALUE"""),0)</f>
        <v>0</v>
      </c>
      <c r="Q56" s="23">
        <f ca="1">IFERROR(__xludf.DUMMYFUNCTION("""COMPUTED_VALUE"""),0)</f>
        <v>0</v>
      </c>
      <c r="R56" s="23">
        <f ca="1">IFERROR(__xludf.DUMMYFUNCTION("""COMPUTED_VALUE"""),0)</f>
        <v>0</v>
      </c>
      <c r="S56" s="23">
        <f ca="1">IFERROR(__xludf.DUMMYFUNCTION("""COMPUTED_VALUE"""),16)</f>
        <v>16</v>
      </c>
    </row>
    <row r="57" spans="1:19">
      <c r="A57" s="23" t="str">
        <f ca="1">IFERROR(__xludf.DUMMYFUNCTION("""COMPUTED_VALUE"""),"CONSULTAS MÉDICAS DOMICILIARIAS")</f>
        <v>CONSULTAS MÉDICAS DOMICILIARIAS</v>
      </c>
      <c r="B57" s="23">
        <f ca="1">IFERROR(__xludf.DUMMYFUNCTION("""COMPUTED_VALUE"""),1)</f>
        <v>1</v>
      </c>
      <c r="C57" s="23"/>
      <c r="D57" s="23" t="str">
        <f ca="1">IFERROR(__xludf.DUMMYFUNCTION("""COMPUTED_VALUE"""),"ASCENDENTE")</f>
        <v>ASCENDENTE</v>
      </c>
      <c r="E57" s="23" t="str">
        <f ca="1">IFERROR(__xludf.DUMMYFUNCTION("""COMPUTED_VALUE"""),"BITACORA OPERATIVA")</f>
        <v>BITACORA OPERATIVA</v>
      </c>
      <c r="F57" s="23">
        <f ca="1">IFERROR(__xludf.DUMMYFUNCTION("""COMPUTED_VALUE"""),0)</f>
        <v>0</v>
      </c>
      <c r="G57" s="23">
        <f ca="1">IFERROR(__xludf.DUMMYFUNCTION("""COMPUTED_VALUE"""),0)</f>
        <v>0</v>
      </c>
      <c r="H57" s="23">
        <f ca="1">IFERROR(__xludf.DUMMYFUNCTION("""COMPUTED_VALUE"""),0)</f>
        <v>0</v>
      </c>
      <c r="I57" s="23">
        <f ca="1">IFERROR(__xludf.DUMMYFUNCTION("""COMPUTED_VALUE"""),0)</f>
        <v>0</v>
      </c>
      <c r="J57" s="23">
        <f ca="1">IFERROR(__xludf.DUMMYFUNCTION("""COMPUTED_VALUE"""),15)</f>
        <v>15</v>
      </c>
      <c r="K57" s="23">
        <f ca="1">IFERROR(__xludf.DUMMYFUNCTION("""COMPUTED_VALUE"""),16)</f>
        <v>16</v>
      </c>
      <c r="L57" s="23">
        <f ca="1">IFERROR(__xludf.DUMMYFUNCTION("""COMPUTED_VALUE"""),18)</f>
        <v>18</v>
      </c>
      <c r="M57" s="23">
        <f ca="1">IFERROR(__xludf.DUMMYFUNCTION("""COMPUTED_VALUE"""),0)</f>
        <v>0</v>
      </c>
      <c r="N57" s="23">
        <f ca="1">IFERROR(__xludf.DUMMYFUNCTION("""COMPUTED_VALUE"""),0)</f>
        <v>0</v>
      </c>
      <c r="O57" s="23">
        <f ca="1">IFERROR(__xludf.DUMMYFUNCTION("""COMPUTED_VALUE"""),0)</f>
        <v>0</v>
      </c>
      <c r="P57" s="23">
        <f ca="1">IFERROR(__xludf.DUMMYFUNCTION("""COMPUTED_VALUE"""),0)</f>
        <v>0</v>
      </c>
      <c r="Q57" s="23">
        <f ca="1">IFERROR(__xludf.DUMMYFUNCTION("""COMPUTED_VALUE"""),0)</f>
        <v>0</v>
      </c>
      <c r="R57" s="23">
        <f ca="1">IFERROR(__xludf.DUMMYFUNCTION("""COMPUTED_VALUE"""),0)</f>
        <v>0</v>
      </c>
      <c r="S57" s="23">
        <f ca="1">IFERROR(__xludf.DUMMYFUNCTION("""COMPUTED_VALUE"""),49)</f>
        <v>49</v>
      </c>
    </row>
    <row r="58" spans="1:19">
      <c r="A58" s="23" t="str">
        <f ca="1">IFERROR(__xludf.DUMMYFUNCTION("""COMPUTED_VALUE"""),"TOTAL DE TRASLADOS")</f>
        <v>TOTAL DE TRASLADOS</v>
      </c>
      <c r="B58" s="23">
        <f ca="1">IFERROR(__xludf.DUMMYFUNCTION("""COMPUTED_VALUE"""),1)</f>
        <v>1</v>
      </c>
      <c r="C58" s="23"/>
      <c r="D58" s="23" t="str">
        <f ca="1">IFERROR(__xludf.DUMMYFUNCTION("""COMPUTED_VALUE"""),"ASCENDENTE")</f>
        <v>ASCENDENTE</v>
      </c>
      <c r="E58" s="23" t="str">
        <f ca="1">IFERROR(__xludf.DUMMYFUNCTION("""COMPUTED_VALUE"""),"BITACORA OPERATIVA")</f>
        <v>BITACORA OPERATIVA</v>
      </c>
      <c r="F58" s="23">
        <f ca="1">IFERROR(__xludf.DUMMYFUNCTION("""COMPUTED_VALUE"""),0)</f>
        <v>0</v>
      </c>
      <c r="G58" s="23">
        <f ca="1">IFERROR(__xludf.DUMMYFUNCTION("""COMPUTED_VALUE"""),0)</f>
        <v>0</v>
      </c>
      <c r="H58" s="23">
        <f ca="1">IFERROR(__xludf.DUMMYFUNCTION("""COMPUTED_VALUE"""),0)</f>
        <v>0</v>
      </c>
      <c r="I58" s="23">
        <f ca="1">IFERROR(__xludf.DUMMYFUNCTION("""COMPUTED_VALUE"""),0)</f>
        <v>0</v>
      </c>
      <c r="J58" s="23">
        <f ca="1">IFERROR(__xludf.DUMMYFUNCTION("""COMPUTED_VALUE"""),3)</f>
        <v>3</v>
      </c>
      <c r="K58" s="23">
        <f ca="1">IFERROR(__xludf.DUMMYFUNCTION("""COMPUTED_VALUE"""),4)</f>
        <v>4</v>
      </c>
      <c r="L58" s="23">
        <f ca="1">IFERROR(__xludf.DUMMYFUNCTION("""COMPUTED_VALUE"""),4)</f>
        <v>4</v>
      </c>
      <c r="M58" s="23">
        <f ca="1">IFERROR(__xludf.DUMMYFUNCTION("""COMPUTED_VALUE"""),0)</f>
        <v>0</v>
      </c>
      <c r="N58" s="23">
        <f ca="1">IFERROR(__xludf.DUMMYFUNCTION("""COMPUTED_VALUE"""),0)</f>
        <v>0</v>
      </c>
      <c r="O58" s="23">
        <f ca="1">IFERROR(__xludf.DUMMYFUNCTION("""COMPUTED_VALUE"""),0)</f>
        <v>0</v>
      </c>
      <c r="P58" s="23">
        <f ca="1">IFERROR(__xludf.DUMMYFUNCTION("""COMPUTED_VALUE"""),0)</f>
        <v>0</v>
      </c>
      <c r="Q58" s="23">
        <f ca="1">IFERROR(__xludf.DUMMYFUNCTION("""COMPUTED_VALUE"""),0)</f>
        <v>0</v>
      </c>
      <c r="R58" s="23">
        <f ca="1">IFERROR(__xludf.DUMMYFUNCTION("""COMPUTED_VALUE"""),0)</f>
        <v>0</v>
      </c>
      <c r="S58" s="23">
        <f ca="1">IFERROR(__xludf.DUMMYFUNCTION("""COMPUTED_VALUE"""),11)</f>
        <v>11</v>
      </c>
    </row>
    <row r="59" spans="1:19">
      <c r="A59" s="23" t="str">
        <f ca="1">IFERROR(__xludf.DUMMYFUNCTION("""COMPUTED_VALUE"""),"CAMPAÑAS DE PREVENCIÓN EN SALUD PÚBLICA")</f>
        <v>CAMPAÑAS DE PREVENCIÓN EN SALUD PÚBLICA</v>
      </c>
      <c r="B59" s="23">
        <f ca="1">IFERROR(__xludf.DUMMYFUNCTION("""COMPUTED_VALUE"""),1)</f>
        <v>1</v>
      </c>
      <c r="C59" s="23"/>
      <c r="D59" s="23" t="str">
        <f ca="1">IFERROR(__xludf.DUMMYFUNCTION("""COMPUTED_VALUE"""),"ASCENDENTE")</f>
        <v>ASCENDENTE</v>
      </c>
      <c r="E59" s="23" t="str">
        <f ca="1">IFERROR(__xludf.DUMMYFUNCTION("""COMPUTED_VALUE"""),"BITACORA OPERATIVA")</f>
        <v>BITACORA OPERATIVA</v>
      </c>
      <c r="F59" s="23">
        <f ca="1">IFERROR(__xludf.DUMMYFUNCTION("""COMPUTED_VALUE"""),0)</f>
        <v>0</v>
      </c>
      <c r="G59" s="23">
        <f ca="1">IFERROR(__xludf.DUMMYFUNCTION("""COMPUTED_VALUE"""),0)</f>
        <v>0</v>
      </c>
      <c r="H59" s="23">
        <f ca="1">IFERROR(__xludf.DUMMYFUNCTION("""COMPUTED_VALUE"""),0)</f>
        <v>0</v>
      </c>
      <c r="I59" s="23">
        <f ca="1">IFERROR(__xludf.DUMMYFUNCTION("""COMPUTED_VALUE"""),0)</f>
        <v>0</v>
      </c>
      <c r="J59" s="23">
        <f ca="1">IFERROR(__xludf.DUMMYFUNCTION("""COMPUTED_VALUE"""),2)</f>
        <v>2</v>
      </c>
      <c r="K59" s="23">
        <f ca="1">IFERROR(__xludf.DUMMYFUNCTION("""COMPUTED_VALUE"""),0)</f>
        <v>0</v>
      </c>
      <c r="L59" s="23">
        <f ca="1">IFERROR(__xludf.DUMMYFUNCTION("""COMPUTED_VALUE"""),0)</f>
        <v>0</v>
      </c>
      <c r="M59" s="23">
        <f ca="1">IFERROR(__xludf.DUMMYFUNCTION("""COMPUTED_VALUE"""),0)</f>
        <v>0</v>
      </c>
      <c r="N59" s="23">
        <f ca="1">IFERROR(__xludf.DUMMYFUNCTION("""COMPUTED_VALUE"""),0)</f>
        <v>0</v>
      </c>
      <c r="O59" s="23">
        <f ca="1">IFERROR(__xludf.DUMMYFUNCTION("""COMPUTED_VALUE"""),0)</f>
        <v>0</v>
      </c>
      <c r="P59" s="23">
        <f ca="1">IFERROR(__xludf.DUMMYFUNCTION("""COMPUTED_VALUE"""),0)</f>
        <v>0</v>
      </c>
      <c r="Q59" s="23">
        <f ca="1">IFERROR(__xludf.DUMMYFUNCTION("""COMPUTED_VALUE"""),0)</f>
        <v>0</v>
      </c>
      <c r="R59" s="23">
        <f ca="1">IFERROR(__xludf.DUMMYFUNCTION("""COMPUTED_VALUE"""),0)</f>
        <v>0</v>
      </c>
      <c r="S59" s="23">
        <f ca="1">IFERROR(__xludf.DUMMYFUNCTION("""COMPUTED_VALUE"""),2)</f>
        <v>2</v>
      </c>
    </row>
    <row r="60" spans="1:19">
      <c r="A60" s="23" t="str">
        <f ca="1">IFERROR(__xludf.DUMMYFUNCTION("""COMPUTED_VALUE"""),"CAMPAÑAS DE VACUNACIÓN")</f>
        <v>CAMPAÑAS DE VACUNACIÓN</v>
      </c>
      <c r="B60" s="23">
        <f ca="1">IFERROR(__xludf.DUMMYFUNCTION("""COMPUTED_VALUE"""),1)</f>
        <v>1</v>
      </c>
      <c r="C60" s="23"/>
      <c r="D60" s="23" t="str">
        <f ca="1">IFERROR(__xludf.DUMMYFUNCTION("""COMPUTED_VALUE"""),"ASCENDENTE")</f>
        <v>ASCENDENTE</v>
      </c>
      <c r="E60" s="23" t="str">
        <f ca="1">IFERROR(__xludf.DUMMYFUNCTION("""COMPUTED_VALUE"""),"BITACORA OPERATIVA")</f>
        <v>BITACORA OPERATIVA</v>
      </c>
      <c r="F60" s="23">
        <f ca="1">IFERROR(__xludf.DUMMYFUNCTION("""COMPUTED_VALUE"""),0)</f>
        <v>0</v>
      </c>
      <c r="G60" s="23">
        <f ca="1">IFERROR(__xludf.DUMMYFUNCTION("""COMPUTED_VALUE"""),0)</f>
        <v>0</v>
      </c>
      <c r="H60" s="23">
        <f ca="1">IFERROR(__xludf.DUMMYFUNCTION("""COMPUTED_VALUE"""),0)</f>
        <v>0</v>
      </c>
      <c r="I60" s="23">
        <f ca="1">IFERROR(__xludf.DUMMYFUNCTION("""COMPUTED_VALUE"""),0)</f>
        <v>0</v>
      </c>
      <c r="J60" s="23">
        <f ca="1">IFERROR(__xludf.DUMMYFUNCTION("""COMPUTED_VALUE"""),30)</f>
        <v>30</v>
      </c>
      <c r="K60" s="23">
        <f ca="1">IFERROR(__xludf.DUMMYFUNCTION("""COMPUTED_VALUE"""),0)</f>
        <v>0</v>
      </c>
      <c r="L60" s="23">
        <f ca="1">IFERROR(__xludf.DUMMYFUNCTION("""COMPUTED_VALUE"""),0)</f>
        <v>0</v>
      </c>
      <c r="M60" s="23">
        <f ca="1">IFERROR(__xludf.DUMMYFUNCTION("""COMPUTED_VALUE"""),0)</f>
        <v>0</v>
      </c>
      <c r="N60" s="23">
        <f ca="1">IFERROR(__xludf.DUMMYFUNCTION("""COMPUTED_VALUE"""),0)</f>
        <v>0</v>
      </c>
      <c r="O60" s="23">
        <f ca="1">IFERROR(__xludf.DUMMYFUNCTION("""COMPUTED_VALUE"""),0)</f>
        <v>0</v>
      </c>
      <c r="P60" s="23">
        <f ca="1">IFERROR(__xludf.DUMMYFUNCTION("""COMPUTED_VALUE"""),0)</f>
        <v>0</v>
      </c>
      <c r="Q60" s="23">
        <f ca="1">IFERROR(__xludf.DUMMYFUNCTION("""COMPUTED_VALUE"""),0)</f>
        <v>0</v>
      </c>
      <c r="R60" s="23">
        <f ca="1">IFERROR(__xludf.DUMMYFUNCTION("""COMPUTED_VALUE"""),0)</f>
        <v>0</v>
      </c>
      <c r="S60" s="23">
        <f ca="1">IFERROR(__xludf.DUMMYFUNCTION("""COMPUTED_VALUE"""),30)</f>
        <v>30</v>
      </c>
    </row>
    <row r="61" spans="1:19">
      <c r="A61" s="23" t="str">
        <f ca="1">IFERROR(__xludf.DUMMYFUNCTION("""COMPUTED_VALUE"""),"PERSONAS VACUNADAS")</f>
        <v>PERSONAS VACUNADAS</v>
      </c>
      <c r="B61" s="23">
        <f ca="1">IFERROR(__xludf.DUMMYFUNCTION("""COMPUTED_VALUE"""),1)</f>
        <v>1</v>
      </c>
      <c r="C61" s="23"/>
      <c r="D61" s="23" t="str">
        <f ca="1">IFERROR(__xludf.DUMMYFUNCTION("""COMPUTED_VALUE"""),"ASCENDENTE")</f>
        <v>ASCENDENTE</v>
      </c>
      <c r="E61" s="23" t="str">
        <f ca="1">IFERROR(__xludf.DUMMYFUNCTION("""COMPUTED_VALUE"""),"BITACORA OPERATIVA")</f>
        <v>BITACORA OPERATIVA</v>
      </c>
      <c r="F61" s="23">
        <f ca="1">IFERROR(__xludf.DUMMYFUNCTION("""COMPUTED_VALUE"""),0)</f>
        <v>0</v>
      </c>
      <c r="G61" s="23">
        <f ca="1">IFERROR(__xludf.DUMMYFUNCTION("""COMPUTED_VALUE"""),0)</f>
        <v>0</v>
      </c>
      <c r="H61" s="23">
        <f ca="1">IFERROR(__xludf.DUMMYFUNCTION("""COMPUTED_VALUE"""),0)</f>
        <v>0</v>
      </c>
      <c r="I61" s="23">
        <f ca="1">IFERROR(__xludf.DUMMYFUNCTION("""COMPUTED_VALUE"""),0)</f>
        <v>0</v>
      </c>
      <c r="J61" s="23">
        <f ca="1">IFERROR(__xludf.DUMMYFUNCTION("""COMPUTED_VALUE"""),130)</f>
        <v>130</v>
      </c>
      <c r="K61" s="23">
        <f ca="1">IFERROR(__xludf.DUMMYFUNCTION("""COMPUTED_VALUE"""),140)</f>
        <v>140</v>
      </c>
      <c r="L61" s="23">
        <f ca="1">IFERROR(__xludf.DUMMYFUNCTION("""COMPUTED_VALUE"""),140)</f>
        <v>140</v>
      </c>
      <c r="M61" s="23">
        <f ca="1">IFERROR(__xludf.DUMMYFUNCTION("""COMPUTED_VALUE"""),0)</f>
        <v>0</v>
      </c>
      <c r="N61" s="23">
        <f ca="1">IFERROR(__xludf.DUMMYFUNCTION("""COMPUTED_VALUE"""),0)</f>
        <v>0</v>
      </c>
      <c r="O61" s="23">
        <f ca="1">IFERROR(__xludf.DUMMYFUNCTION("""COMPUTED_VALUE"""),0)</f>
        <v>0</v>
      </c>
      <c r="P61" s="23">
        <f ca="1">IFERROR(__xludf.DUMMYFUNCTION("""COMPUTED_VALUE"""),0)</f>
        <v>0</v>
      </c>
      <c r="Q61" s="23">
        <f ca="1">IFERROR(__xludf.DUMMYFUNCTION("""COMPUTED_VALUE"""),0)</f>
        <v>0</v>
      </c>
      <c r="R61" s="23">
        <f ca="1">IFERROR(__xludf.DUMMYFUNCTION("""COMPUTED_VALUE"""),0)</f>
        <v>0</v>
      </c>
      <c r="S61" s="23">
        <f ca="1">IFERROR(__xludf.DUMMYFUNCTION("""COMPUTED_VALUE"""),410)</f>
        <v>410</v>
      </c>
    </row>
    <row r="62" spans="1:19">
      <c r="A62" s="23" t="str">
        <f ca="1">IFERROR(__xludf.DUMMYFUNCTION("""COMPUTED_VALUE"""),"ATENCIONES DE LABORATORIO DE ANÁLISIS CLÍNICOS")</f>
        <v>ATENCIONES DE LABORATORIO DE ANÁLISIS CLÍNICOS</v>
      </c>
      <c r="B62" s="23">
        <f ca="1">IFERROR(__xludf.DUMMYFUNCTION("""COMPUTED_VALUE"""),1)</f>
        <v>1</v>
      </c>
      <c r="C62" s="23"/>
      <c r="D62" s="23" t="str">
        <f ca="1">IFERROR(__xludf.DUMMYFUNCTION("""COMPUTED_VALUE"""),"ASCENDENTE")</f>
        <v>ASCENDENTE</v>
      </c>
      <c r="E62" s="23" t="str">
        <f ca="1">IFERROR(__xludf.DUMMYFUNCTION("""COMPUTED_VALUE"""),"BITACORA OPERATIVA")</f>
        <v>BITACORA OPERATIVA</v>
      </c>
      <c r="F62" s="23">
        <f ca="1">IFERROR(__xludf.DUMMYFUNCTION("""COMPUTED_VALUE"""),0)</f>
        <v>0</v>
      </c>
      <c r="G62" s="23">
        <f ca="1">IFERROR(__xludf.DUMMYFUNCTION("""COMPUTED_VALUE"""),0)</f>
        <v>0</v>
      </c>
      <c r="H62" s="23">
        <f ca="1">IFERROR(__xludf.DUMMYFUNCTION("""COMPUTED_VALUE"""),0)</f>
        <v>0</v>
      </c>
      <c r="I62" s="23">
        <f ca="1">IFERROR(__xludf.DUMMYFUNCTION("""COMPUTED_VALUE"""),0)</f>
        <v>0</v>
      </c>
      <c r="J62" s="23">
        <f ca="1">IFERROR(__xludf.DUMMYFUNCTION("""COMPUTED_VALUE"""),8)</f>
        <v>8</v>
      </c>
      <c r="K62" s="23">
        <f ca="1">IFERROR(__xludf.DUMMYFUNCTION("""COMPUTED_VALUE"""),10)</f>
        <v>10</v>
      </c>
      <c r="L62" s="23">
        <f ca="1">IFERROR(__xludf.DUMMYFUNCTION("""COMPUTED_VALUE"""),10)</f>
        <v>10</v>
      </c>
      <c r="M62" s="23">
        <f ca="1">IFERROR(__xludf.DUMMYFUNCTION("""COMPUTED_VALUE"""),0)</f>
        <v>0</v>
      </c>
      <c r="N62" s="23">
        <f ca="1">IFERROR(__xludf.DUMMYFUNCTION("""COMPUTED_VALUE"""),0)</f>
        <v>0</v>
      </c>
      <c r="O62" s="23">
        <f ca="1">IFERROR(__xludf.DUMMYFUNCTION("""COMPUTED_VALUE"""),0)</f>
        <v>0</v>
      </c>
      <c r="P62" s="23">
        <f ca="1">IFERROR(__xludf.DUMMYFUNCTION("""COMPUTED_VALUE"""),0)</f>
        <v>0</v>
      </c>
      <c r="Q62" s="23">
        <f ca="1">IFERROR(__xludf.DUMMYFUNCTION("""COMPUTED_VALUE"""),0)</f>
        <v>0</v>
      </c>
      <c r="R62" s="23">
        <f ca="1">IFERROR(__xludf.DUMMYFUNCTION("""COMPUTED_VALUE"""),0)</f>
        <v>0</v>
      </c>
      <c r="S62" s="23">
        <f ca="1">IFERROR(__xludf.DUMMYFUNCTION("""COMPUTED_VALUE"""),28)</f>
        <v>28</v>
      </c>
    </row>
    <row r="63" spans="1:19">
      <c r="A63" s="23" t="str">
        <f ca="1">IFERROR(__xludf.DUMMYFUNCTION("""COMPUTED_VALUE"""),"APOYO DE AMBULANCIA EN EVENTOS PUBLICOS")</f>
        <v>APOYO DE AMBULANCIA EN EVENTOS PUBLICOS</v>
      </c>
      <c r="B63" s="23">
        <f ca="1">IFERROR(__xludf.DUMMYFUNCTION("""COMPUTED_VALUE"""),1)</f>
        <v>1</v>
      </c>
      <c r="C63" s="23"/>
      <c r="D63" s="23" t="str">
        <f ca="1">IFERROR(__xludf.DUMMYFUNCTION("""COMPUTED_VALUE"""),"ASCENDENTE")</f>
        <v>ASCENDENTE</v>
      </c>
      <c r="E63" s="23" t="str">
        <f ca="1">IFERROR(__xludf.DUMMYFUNCTION("""COMPUTED_VALUE"""),"BITACORA OPERATIVA")</f>
        <v>BITACORA OPERATIVA</v>
      </c>
      <c r="F63" s="23">
        <f ca="1">IFERROR(__xludf.DUMMYFUNCTION("""COMPUTED_VALUE"""),0)</f>
        <v>0</v>
      </c>
      <c r="G63" s="23">
        <f ca="1">IFERROR(__xludf.DUMMYFUNCTION("""COMPUTED_VALUE"""),0)</f>
        <v>0</v>
      </c>
      <c r="H63" s="23">
        <f ca="1">IFERROR(__xludf.DUMMYFUNCTION("""COMPUTED_VALUE"""),0)</f>
        <v>0</v>
      </c>
      <c r="I63" s="23">
        <f ca="1">IFERROR(__xludf.DUMMYFUNCTION("""COMPUTED_VALUE"""),0)</f>
        <v>0</v>
      </c>
      <c r="J63" s="23">
        <f ca="1">IFERROR(__xludf.DUMMYFUNCTION("""COMPUTED_VALUE"""),100)</f>
        <v>100</v>
      </c>
      <c r="K63" s="23">
        <f ca="1">IFERROR(__xludf.DUMMYFUNCTION("""COMPUTED_VALUE"""),0)</f>
        <v>0</v>
      </c>
      <c r="L63" s="23">
        <f ca="1">IFERROR(__xludf.DUMMYFUNCTION("""COMPUTED_VALUE"""),0)</f>
        <v>0</v>
      </c>
      <c r="M63" s="23">
        <f ca="1">IFERROR(__xludf.DUMMYFUNCTION("""COMPUTED_VALUE"""),0)</f>
        <v>0</v>
      </c>
      <c r="N63" s="23">
        <f ca="1">IFERROR(__xludf.DUMMYFUNCTION("""COMPUTED_VALUE"""),0)</f>
        <v>0</v>
      </c>
      <c r="O63" s="23">
        <f ca="1">IFERROR(__xludf.DUMMYFUNCTION("""COMPUTED_VALUE"""),0)</f>
        <v>0</v>
      </c>
      <c r="P63" s="23">
        <f ca="1">IFERROR(__xludf.DUMMYFUNCTION("""COMPUTED_VALUE"""),0)</f>
        <v>0</v>
      </c>
      <c r="Q63" s="23">
        <f ca="1">IFERROR(__xludf.DUMMYFUNCTION("""COMPUTED_VALUE"""),0)</f>
        <v>0</v>
      </c>
      <c r="R63" s="23">
        <f ca="1">IFERROR(__xludf.DUMMYFUNCTION("""COMPUTED_VALUE"""),0)</f>
        <v>0</v>
      </c>
      <c r="S63" s="23">
        <f ca="1">IFERROR(__xludf.DUMMYFUNCTION("""COMPUTED_VALUE"""),100)</f>
        <v>100</v>
      </c>
    </row>
    <row r="64" spans="1:19">
      <c r="A64" s="23" t="str">
        <f ca="1">IFERROR(__xludf.DUMMYFUNCTION("""COMPUTED_VALUE"""),"NÚMERO DE EVALUACIONES")</f>
        <v>NÚMERO DE EVALUACIONES</v>
      </c>
      <c r="B64" s="23">
        <f ca="1">IFERROR(__xludf.DUMMYFUNCTION("""COMPUTED_VALUE"""),1)</f>
        <v>1</v>
      </c>
      <c r="C64" s="23"/>
      <c r="D64" s="23" t="str">
        <f ca="1">IFERROR(__xludf.DUMMYFUNCTION("""COMPUTED_VALUE"""),"ASCENDENTE")</f>
        <v>ASCENDENTE</v>
      </c>
      <c r="E64" s="23" t="str">
        <f ca="1">IFERROR(__xludf.DUMMYFUNCTION("""COMPUTED_VALUE"""),"BITACORA OPERATIVA")</f>
        <v>BITACORA OPERATIVA</v>
      </c>
      <c r="F64" s="23">
        <f ca="1">IFERROR(__xludf.DUMMYFUNCTION("""COMPUTED_VALUE"""),0)</f>
        <v>0</v>
      </c>
      <c r="G64" s="23">
        <f ca="1">IFERROR(__xludf.DUMMYFUNCTION("""COMPUTED_VALUE"""),0)</f>
        <v>0</v>
      </c>
      <c r="H64" s="23">
        <f ca="1">IFERROR(__xludf.DUMMYFUNCTION("""COMPUTED_VALUE"""),0)</f>
        <v>0</v>
      </c>
      <c r="I64" s="23">
        <f ca="1">IFERROR(__xludf.DUMMYFUNCTION("""COMPUTED_VALUE"""),0)</f>
        <v>0</v>
      </c>
      <c r="J64" s="23">
        <f ca="1">IFERROR(__xludf.DUMMYFUNCTION("""COMPUTED_VALUE"""),80)</f>
        <v>80</v>
      </c>
      <c r="K64" s="23">
        <f ca="1">IFERROR(__xludf.DUMMYFUNCTION("""COMPUTED_VALUE"""),70)</f>
        <v>70</v>
      </c>
      <c r="L64" s="23">
        <f ca="1">IFERROR(__xludf.DUMMYFUNCTION("""COMPUTED_VALUE"""),80)</f>
        <v>80</v>
      </c>
      <c r="M64" s="23">
        <f ca="1">IFERROR(__xludf.DUMMYFUNCTION("""COMPUTED_VALUE"""),0)</f>
        <v>0</v>
      </c>
      <c r="N64" s="23">
        <f ca="1">IFERROR(__xludf.DUMMYFUNCTION("""COMPUTED_VALUE"""),0)</f>
        <v>0</v>
      </c>
      <c r="O64" s="23">
        <f ca="1">IFERROR(__xludf.DUMMYFUNCTION("""COMPUTED_VALUE"""),0)</f>
        <v>0</v>
      </c>
      <c r="P64" s="23">
        <f ca="1">IFERROR(__xludf.DUMMYFUNCTION("""COMPUTED_VALUE"""),0)</f>
        <v>0</v>
      </c>
      <c r="Q64" s="23">
        <f ca="1">IFERROR(__xludf.DUMMYFUNCTION("""COMPUTED_VALUE"""),0)</f>
        <v>0</v>
      </c>
      <c r="R64" s="23">
        <f ca="1">IFERROR(__xludf.DUMMYFUNCTION("""COMPUTED_VALUE"""),0)</f>
        <v>0</v>
      </c>
      <c r="S64" s="23">
        <f ca="1">IFERROR(__xludf.DUMMYFUNCTION("""COMPUTED_VALUE"""),230)</f>
        <v>230</v>
      </c>
    </row>
    <row r="65" spans="1:19">
      <c r="A65" s="23" t="str">
        <f ca="1">IFERROR(__xludf.DUMMYFUNCTION("""COMPUTED_VALUE"""),"TOTAL DE EXÁMENES MÉDICOS")</f>
        <v>TOTAL DE EXÁMENES MÉDICOS</v>
      </c>
      <c r="B65" s="23">
        <f ca="1">IFERROR(__xludf.DUMMYFUNCTION("""COMPUTED_VALUE"""),1)</f>
        <v>1</v>
      </c>
      <c r="C65" s="23"/>
      <c r="D65" s="23" t="str">
        <f ca="1">IFERROR(__xludf.DUMMYFUNCTION("""COMPUTED_VALUE"""),"ASCENDENTE")</f>
        <v>ASCENDENTE</v>
      </c>
      <c r="E65" s="23" t="str">
        <f ca="1">IFERROR(__xludf.DUMMYFUNCTION("""COMPUTED_VALUE"""),"BITACORA OPERATIVA")</f>
        <v>BITACORA OPERATIVA</v>
      </c>
      <c r="F65" s="23">
        <f ca="1">IFERROR(__xludf.DUMMYFUNCTION("""COMPUTED_VALUE"""),0)</f>
        <v>0</v>
      </c>
      <c r="G65" s="23">
        <f ca="1">IFERROR(__xludf.DUMMYFUNCTION("""COMPUTED_VALUE"""),0)</f>
        <v>0</v>
      </c>
      <c r="H65" s="23">
        <f ca="1">IFERROR(__xludf.DUMMYFUNCTION("""COMPUTED_VALUE"""),0)</f>
        <v>0</v>
      </c>
      <c r="I65" s="23">
        <f ca="1">IFERROR(__xludf.DUMMYFUNCTION("""COMPUTED_VALUE"""),0)</f>
        <v>0</v>
      </c>
      <c r="J65" s="23">
        <f ca="1">IFERROR(__xludf.DUMMYFUNCTION("""COMPUTED_VALUE"""),120)</f>
        <v>120</v>
      </c>
      <c r="K65" s="23">
        <f ca="1">IFERROR(__xludf.DUMMYFUNCTION("""COMPUTED_VALUE"""),130)</f>
        <v>130</v>
      </c>
      <c r="L65" s="23">
        <f ca="1">IFERROR(__xludf.DUMMYFUNCTION("""COMPUTED_VALUE"""),130)</f>
        <v>130</v>
      </c>
      <c r="M65" s="23">
        <f ca="1">IFERROR(__xludf.DUMMYFUNCTION("""COMPUTED_VALUE"""),0)</f>
        <v>0</v>
      </c>
      <c r="N65" s="23">
        <f ca="1">IFERROR(__xludf.DUMMYFUNCTION("""COMPUTED_VALUE"""),0)</f>
        <v>0</v>
      </c>
      <c r="O65" s="23">
        <f ca="1">IFERROR(__xludf.DUMMYFUNCTION("""COMPUTED_VALUE"""),0)</f>
        <v>0</v>
      </c>
      <c r="P65" s="23">
        <f ca="1">IFERROR(__xludf.DUMMYFUNCTION("""COMPUTED_VALUE"""),0)</f>
        <v>0</v>
      </c>
      <c r="Q65" s="23">
        <f ca="1">IFERROR(__xludf.DUMMYFUNCTION("""COMPUTED_VALUE"""),0)</f>
        <v>0</v>
      </c>
      <c r="R65" s="23">
        <f ca="1">IFERROR(__xludf.DUMMYFUNCTION("""COMPUTED_VALUE"""),0)</f>
        <v>0</v>
      </c>
      <c r="S65" s="23">
        <f ca="1">IFERROR(__xludf.DUMMYFUNCTION("""COMPUTED_VALUE"""),380)</f>
        <v>380</v>
      </c>
    </row>
    <row r="66" spans="1:19">
      <c r="A66" s="23" t="str">
        <f ca="1">IFERROR(__xludf.DUMMYFUNCTION("""COMPUTED_VALUE"""),"CONSULTAS PSICOLÓGICAS")</f>
        <v>CONSULTAS PSICOLÓGICAS</v>
      </c>
      <c r="B66" s="23">
        <f ca="1">IFERROR(__xludf.DUMMYFUNCTION("""COMPUTED_VALUE"""),1)</f>
        <v>1</v>
      </c>
      <c r="C66" s="23"/>
      <c r="D66" s="23" t="str">
        <f ca="1">IFERROR(__xludf.DUMMYFUNCTION("""COMPUTED_VALUE"""),"ASCENDENTE")</f>
        <v>ASCENDENTE</v>
      </c>
      <c r="E66" s="23" t="str">
        <f ca="1">IFERROR(__xludf.DUMMYFUNCTION("""COMPUTED_VALUE"""),"BITACORA OPERATIVA")</f>
        <v>BITACORA OPERATIVA</v>
      </c>
      <c r="F66" s="23">
        <f ca="1">IFERROR(__xludf.DUMMYFUNCTION("""COMPUTED_VALUE"""),0)</f>
        <v>0</v>
      </c>
      <c r="G66" s="23">
        <f ca="1">IFERROR(__xludf.DUMMYFUNCTION("""COMPUTED_VALUE"""),0)</f>
        <v>0</v>
      </c>
      <c r="H66" s="23">
        <f ca="1">IFERROR(__xludf.DUMMYFUNCTION("""COMPUTED_VALUE"""),0)</f>
        <v>0</v>
      </c>
      <c r="I66" s="23">
        <f ca="1">IFERROR(__xludf.DUMMYFUNCTION("""COMPUTED_VALUE"""),0)</f>
        <v>0</v>
      </c>
      <c r="J66" s="23">
        <f ca="1">IFERROR(__xludf.DUMMYFUNCTION("""COMPUTED_VALUE"""),15)</f>
        <v>15</v>
      </c>
      <c r="K66" s="23">
        <f ca="1">IFERROR(__xludf.DUMMYFUNCTION("""COMPUTED_VALUE"""),14)</f>
        <v>14</v>
      </c>
      <c r="L66" s="23">
        <f ca="1">IFERROR(__xludf.DUMMYFUNCTION("""COMPUTED_VALUE"""),16)</f>
        <v>16</v>
      </c>
      <c r="M66" s="23">
        <f ca="1">IFERROR(__xludf.DUMMYFUNCTION("""COMPUTED_VALUE"""),0)</f>
        <v>0</v>
      </c>
      <c r="N66" s="23">
        <f ca="1">IFERROR(__xludf.DUMMYFUNCTION("""COMPUTED_VALUE"""),0)</f>
        <v>0</v>
      </c>
      <c r="O66" s="23">
        <f ca="1">IFERROR(__xludf.DUMMYFUNCTION("""COMPUTED_VALUE"""),0)</f>
        <v>0</v>
      </c>
      <c r="P66" s="23">
        <f ca="1">IFERROR(__xludf.DUMMYFUNCTION("""COMPUTED_VALUE"""),0)</f>
        <v>0</v>
      </c>
      <c r="Q66" s="23">
        <f ca="1">IFERROR(__xludf.DUMMYFUNCTION("""COMPUTED_VALUE"""),0)</f>
        <v>0</v>
      </c>
      <c r="R66" s="23">
        <f ca="1">IFERROR(__xludf.DUMMYFUNCTION("""COMPUTED_VALUE"""),0)</f>
        <v>0</v>
      </c>
      <c r="S66" s="23">
        <f ca="1">IFERROR(__xludf.DUMMYFUNCTION("""COMPUTED_VALUE"""),45)</f>
        <v>45</v>
      </c>
    </row>
    <row r="67" spans="1:19">
      <c r="A67" s="23" t="str">
        <f ca="1">IFERROR(__xludf.DUMMYFUNCTION("""COMPUTED_VALUE"""),"DERIVACIÓN DE CASOS (SEGUNDO NIVEL PSIQUIATRÍA,HCG, ISSSTE, SSJ, CISAME, ETC.))")</f>
        <v>DERIVACIÓN DE CASOS (SEGUNDO NIVEL PSIQUIATRÍA,HCG, ISSSTE, SSJ, CISAME, ETC.))</v>
      </c>
      <c r="B67" s="23">
        <f ca="1">IFERROR(__xludf.DUMMYFUNCTION("""COMPUTED_VALUE"""),1)</f>
        <v>1</v>
      </c>
      <c r="C67" s="23"/>
      <c r="D67" s="23" t="str">
        <f ca="1">IFERROR(__xludf.DUMMYFUNCTION("""COMPUTED_VALUE"""),"ASCENDENTE")</f>
        <v>ASCENDENTE</v>
      </c>
      <c r="E67" s="23" t="str">
        <f ca="1">IFERROR(__xludf.DUMMYFUNCTION("""COMPUTED_VALUE"""),"BITACORA OPERATIVA")</f>
        <v>BITACORA OPERATIVA</v>
      </c>
      <c r="F67" s="23">
        <f ca="1">IFERROR(__xludf.DUMMYFUNCTION("""COMPUTED_VALUE"""),0)</f>
        <v>0</v>
      </c>
      <c r="G67" s="23">
        <f ca="1">IFERROR(__xludf.DUMMYFUNCTION("""COMPUTED_VALUE"""),0)</f>
        <v>0</v>
      </c>
      <c r="H67" s="23">
        <f ca="1">IFERROR(__xludf.DUMMYFUNCTION("""COMPUTED_VALUE"""),0)</f>
        <v>0</v>
      </c>
      <c r="I67" s="23">
        <f ca="1">IFERROR(__xludf.DUMMYFUNCTION("""COMPUTED_VALUE"""),0)</f>
        <v>0</v>
      </c>
      <c r="J67" s="23">
        <f ca="1">IFERROR(__xludf.DUMMYFUNCTION("""COMPUTED_VALUE"""),150)</f>
        <v>150</v>
      </c>
      <c r="K67" s="23">
        <f ca="1">IFERROR(__xludf.DUMMYFUNCTION("""COMPUTED_VALUE"""),140)</f>
        <v>140</v>
      </c>
      <c r="L67" s="23">
        <f ca="1">IFERROR(__xludf.DUMMYFUNCTION("""COMPUTED_VALUE"""),150)</f>
        <v>150</v>
      </c>
      <c r="M67" s="23">
        <f ca="1">IFERROR(__xludf.DUMMYFUNCTION("""COMPUTED_VALUE"""),0)</f>
        <v>0</v>
      </c>
      <c r="N67" s="23">
        <f ca="1">IFERROR(__xludf.DUMMYFUNCTION("""COMPUTED_VALUE"""),0)</f>
        <v>0</v>
      </c>
      <c r="O67" s="23">
        <f ca="1">IFERROR(__xludf.DUMMYFUNCTION("""COMPUTED_VALUE"""),0)</f>
        <v>0</v>
      </c>
      <c r="P67" s="23">
        <f ca="1">IFERROR(__xludf.DUMMYFUNCTION("""COMPUTED_VALUE"""),0)</f>
        <v>0</v>
      </c>
      <c r="Q67" s="23">
        <f ca="1">IFERROR(__xludf.DUMMYFUNCTION("""COMPUTED_VALUE"""),0)</f>
        <v>0</v>
      </c>
      <c r="R67" s="23">
        <f ca="1">IFERROR(__xludf.DUMMYFUNCTION("""COMPUTED_VALUE"""),0)</f>
        <v>0</v>
      </c>
      <c r="S67" s="23">
        <f ca="1">IFERROR(__xludf.DUMMYFUNCTION("""COMPUTED_VALUE"""),440)</f>
        <v>440</v>
      </c>
    </row>
    <row r="68" spans="1:19">
      <c r="A68" s="23" t="str">
        <f ca="1">IFERROR(__xludf.DUMMYFUNCTION("""COMPUTED_VALUE"""),"CONSULTAS NUTRICIONALES")</f>
        <v>CONSULTAS NUTRICIONALES</v>
      </c>
      <c r="B68" s="23">
        <f ca="1">IFERROR(__xludf.DUMMYFUNCTION("""COMPUTED_VALUE"""),1)</f>
        <v>1</v>
      </c>
      <c r="C68" s="23"/>
      <c r="D68" s="23" t="str">
        <f ca="1">IFERROR(__xludf.DUMMYFUNCTION("""COMPUTED_VALUE"""),"ASCENDENTE")</f>
        <v>ASCENDENTE</v>
      </c>
      <c r="E68" s="23" t="str">
        <f ca="1">IFERROR(__xludf.DUMMYFUNCTION("""COMPUTED_VALUE"""),"BITACORA OPERATIVA")</f>
        <v>BITACORA OPERATIVA</v>
      </c>
      <c r="F68" s="23">
        <f ca="1">IFERROR(__xludf.DUMMYFUNCTION("""COMPUTED_VALUE"""),0)</f>
        <v>0</v>
      </c>
      <c r="G68" s="23">
        <f ca="1">IFERROR(__xludf.DUMMYFUNCTION("""COMPUTED_VALUE"""),0)</f>
        <v>0</v>
      </c>
      <c r="H68" s="23">
        <f ca="1">IFERROR(__xludf.DUMMYFUNCTION("""COMPUTED_VALUE"""),0)</f>
        <v>0</v>
      </c>
      <c r="I68" s="23">
        <f ca="1">IFERROR(__xludf.DUMMYFUNCTION("""COMPUTED_VALUE"""),0)</f>
        <v>0</v>
      </c>
      <c r="J68" s="23">
        <f ca="1">IFERROR(__xludf.DUMMYFUNCTION("""COMPUTED_VALUE"""),60)</f>
        <v>60</v>
      </c>
      <c r="K68" s="23">
        <f ca="1">IFERROR(__xludf.DUMMYFUNCTION("""COMPUTED_VALUE"""),60)</f>
        <v>60</v>
      </c>
      <c r="L68" s="23">
        <f ca="1">IFERROR(__xludf.DUMMYFUNCTION("""COMPUTED_VALUE"""),60)</f>
        <v>60</v>
      </c>
      <c r="M68" s="23">
        <f ca="1">IFERROR(__xludf.DUMMYFUNCTION("""COMPUTED_VALUE"""),0)</f>
        <v>0</v>
      </c>
      <c r="N68" s="23">
        <f ca="1">IFERROR(__xludf.DUMMYFUNCTION("""COMPUTED_VALUE"""),0)</f>
        <v>0</v>
      </c>
      <c r="O68" s="23">
        <f ca="1">IFERROR(__xludf.DUMMYFUNCTION("""COMPUTED_VALUE"""),0)</f>
        <v>0</v>
      </c>
      <c r="P68" s="23">
        <f ca="1">IFERROR(__xludf.DUMMYFUNCTION("""COMPUTED_VALUE"""),0)</f>
        <v>0</v>
      </c>
      <c r="Q68" s="23">
        <f ca="1">IFERROR(__xludf.DUMMYFUNCTION("""COMPUTED_VALUE"""),0)</f>
        <v>0</v>
      </c>
      <c r="R68" s="23">
        <f ca="1">IFERROR(__xludf.DUMMYFUNCTION("""COMPUTED_VALUE"""),0)</f>
        <v>0</v>
      </c>
      <c r="S68" s="23">
        <f ca="1">IFERROR(__xludf.DUMMYFUNCTION("""COMPUTED_VALUE"""),180)</f>
        <v>180</v>
      </c>
    </row>
    <row r="69" spans="1:19">
      <c r="A69" s="23" t="str">
        <f ca="1">IFERROR(__xludf.DUMMYFUNCTION("""COMPUTED_VALUE"""),"CONSULTAS DENTALES A PERSONAL DEL AYUNTAMIENTO")</f>
        <v>CONSULTAS DENTALES A PERSONAL DEL AYUNTAMIENTO</v>
      </c>
      <c r="B69" s="23">
        <f ca="1">IFERROR(__xludf.DUMMYFUNCTION("""COMPUTED_VALUE"""),1)</f>
        <v>1</v>
      </c>
      <c r="C69" s="23"/>
      <c r="D69" s="23" t="str">
        <f ca="1">IFERROR(__xludf.DUMMYFUNCTION("""COMPUTED_VALUE"""),"ASCENDENTE")</f>
        <v>ASCENDENTE</v>
      </c>
      <c r="E69" s="23" t="str">
        <f ca="1">IFERROR(__xludf.DUMMYFUNCTION("""COMPUTED_VALUE"""),"BITACORA OPERATIVA")</f>
        <v>BITACORA OPERATIVA</v>
      </c>
      <c r="F69" s="23">
        <f ca="1">IFERROR(__xludf.DUMMYFUNCTION("""COMPUTED_VALUE"""),0)</f>
        <v>0</v>
      </c>
      <c r="G69" s="23">
        <f ca="1">IFERROR(__xludf.DUMMYFUNCTION("""COMPUTED_VALUE"""),0)</f>
        <v>0</v>
      </c>
      <c r="H69" s="23">
        <f ca="1">IFERROR(__xludf.DUMMYFUNCTION("""COMPUTED_VALUE"""),0)</f>
        <v>0</v>
      </c>
      <c r="I69" s="23">
        <f ca="1">IFERROR(__xludf.DUMMYFUNCTION("""COMPUTED_VALUE"""),0)</f>
        <v>0</v>
      </c>
      <c r="J69" s="23">
        <f ca="1">IFERROR(__xludf.DUMMYFUNCTION("""COMPUTED_VALUE"""),12)</f>
        <v>12</v>
      </c>
      <c r="K69" s="23">
        <f ca="1">IFERROR(__xludf.DUMMYFUNCTION("""COMPUTED_VALUE"""),10)</f>
        <v>10</v>
      </c>
      <c r="L69" s="23">
        <f ca="1">IFERROR(__xludf.DUMMYFUNCTION("""COMPUTED_VALUE"""),8)</f>
        <v>8</v>
      </c>
      <c r="M69" s="23">
        <f ca="1">IFERROR(__xludf.DUMMYFUNCTION("""COMPUTED_VALUE"""),0)</f>
        <v>0</v>
      </c>
      <c r="N69" s="23">
        <f ca="1">IFERROR(__xludf.DUMMYFUNCTION("""COMPUTED_VALUE"""),0)</f>
        <v>0</v>
      </c>
      <c r="O69" s="23">
        <f ca="1">IFERROR(__xludf.DUMMYFUNCTION("""COMPUTED_VALUE"""),0)</f>
        <v>0</v>
      </c>
      <c r="P69" s="23">
        <f ca="1">IFERROR(__xludf.DUMMYFUNCTION("""COMPUTED_VALUE"""),0)</f>
        <v>0</v>
      </c>
      <c r="Q69" s="23">
        <f ca="1">IFERROR(__xludf.DUMMYFUNCTION("""COMPUTED_VALUE"""),0)</f>
        <v>0</v>
      </c>
      <c r="R69" s="23">
        <f ca="1">IFERROR(__xludf.DUMMYFUNCTION("""COMPUTED_VALUE"""),0)</f>
        <v>0</v>
      </c>
      <c r="S69" s="23">
        <f ca="1">IFERROR(__xludf.DUMMYFUNCTION("""COMPUTED_VALUE"""),30)</f>
        <v>30</v>
      </c>
    </row>
    <row r="70" spans="1:19">
      <c r="A70" s="23" t="str">
        <f ca="1">IFERROR(__xludf.DUMMYFUNCTION("""COMPUTED_VALUE"""),"CONSULTAS DENTALES A POBLACION ABIERTA")</f>
        <v>CONSULTAS DENTALES A POBLACION ABIERTA</v>
      </c>
      <c r="B70" s="23">
        <f ca="1">IFERROR(__xludf.DUMMYFUNCTION("""COMPUTED_VALUE"""),1)</f>
        <v>1</v>
      </c>
      <c r="C70" s="23"/>
      <c r="D70" s="23" t="str">
        <f ca="1">IFERROR(__xludf.DUMMYFUNCTION("""COMPUTED_VALUE"""),"ASCENDENTE")</f>
        <v>ASCENDENTE</v>
      </c>
      <c r="E70" s="23" t="str">
        <f ca="1">IFERROR(__xludf.DUMMYFUNCTION("""COMPUTED_VALUE"""),"BITACORA OPERATIVA")</f>
        <v>BITACORA OPERATIVA</v>
      </c>
      <c r="F70" s="23">
        <f ca="1">IFERROR(__xludf.DUMMYFUNCTION("""COMPUTED_VALUE"""),0)</f>
        <v>0</v>
      </c>
      <c r="G70" s="23">
        <f ca="1">IFERROR(__xludf.DUMMYFUNCTION("""COMPUTED_VALUE"""),0)</f>
        <v>0</v>
      </c>
      <c r="H70" s="23">
        <f ca="1">IFERROR(__xludf.DUMMYFUNCTION("""COMPUTED_VALUE"""),0)</f>
        <v>0</v>
      </c>
      <c r="I70" s="23">
        <f ca="1">IFERROR(__xludf.DUMMYFUNCTION("""COMPUTED_VALUE"""),0)</f>
        <v>0</v>
      </c>
      <c r="J70" s="23">
        <f ca="1">IFERROR(__xludf.DUMMYFUNCTION("""COMPUTED_VALUE"""),880)</f>
        <v>880</v>
      </c>
      <c r="K70" s="23">
        <f ca="1">IFERROR(__xludf.DUMMYFUNCTION("""COMPUTED_VALUE"""),890)</f>
        <v>890</v>
      </c>
      <c r="L70" s="23">
        <f ca="1">IFERROR(__xludf.DUMMYFUNCTION("""COMPUTED_VALUE"""),1000)</f>
        <v>1000</v>
      </c>
      <c r="M70" s="23">
        <f ca="1">IFERROR(__xludf.DUMMYFUNCTION("""COMPUTED_VALUE"""),0)</f>
        <v>0</v>
      </c>
      <c r="N70" s="23">
        <f ca="1">IFERROR(__xludf.DUMMYFUNCTION("""COMPUTED_VALUE"""),0)</f>
        <v>0</v>
      </c>
      <c r="O70" s="23">
        <f ca="1">IFERROR(__xludf.DUMMYFUNCTION("""COMPUTED_VALUE"""),0)</f>
        <v>0</v>
      </c>
      <c r="P70" s="23">
        <f ca="1">IFERROR(__xludf.DUMMYFUNCTION("""COMPUTED_VALUE"""),0)</f>
        <v>0</v>
      </c>
      <c r="Q70" s="23">
        <f ca="1">IFERROR(__xludf.DUMMYFUNCTION("""COMPUTED_VALUE"""),0)</f>
        <v>0</v>
      </c>
      <c r="R70" s="23">
        <f ca="1">IFERROR(__xludf.DUMMYFUNCTION("""COMPUTED_VALUE"""),0)</f>
        <v>0</v>
      </c>
      <c r="S70" s="23">
        <f ca="1">IFERROR(__xludf.DUMMYFUNCTION("""COMPUTED_VALUE"""),2770)</f>
        <v>2770</v>
      </c>
    </row>
    <row r="71" spans="1:19">
      <c r="A71" s="23" t="str">
        <f ca="1">IFERROR(__xludf.DUMMYFUNCTION("""COMPUTED_VALUE"""),"CONSULTAS MEDICAS A PERSONAL DEL AYUNTAMIENTO")</f>
        <v>CONSULTAS MEDICAS A PERSONAL DEL AYUNTAMIENTO</v>
      </c>
      <c r="B71" s="23">
        <f ca="1">IFERROR(__xludf.DUMMYFUNCTION("""COMPUTED_VALUE"""),1)</f>
        <v>1</v>
      </c>
      <c r="C71" s="23"/>
      <c r="D71" s="23" t="str">
        <f ca="1">IFERROR(__xludf.DUMMYFUNCTION("""COMPUTED_VALUE"""),"ASCENDENTE")</f>
        <v>ASCENDENTE</v>
      </c>
      <c r="E71" s="23" t="str">
        <f ca="1">IFERROR(__xludf.DUMMYFUNCTION("""COMPUTED_VALUE"""),"BITACORA OPERATIVA")</f>
        <v>BITACORA OPERATIVA</v>
      </c>
      <c r="F71" s="23">
        <f ca="1">IFERROR(__xludf.DUMMYFUNCTION("""COMPUTED_VALUE"""),0)</f>
        <v>0</v>
      </c>
      <c r="G71" s="23">
        <f ca="1">IFERROR(__xludf.DUMMYFUNCTION("""COMPUTED_VALUE"""),0)</f>
        <v>0</v>
      </c>
      <c r="H71" s="23">
        <f ca="1">IFERROR(__xludf.DUMMYFUNCTION("""COMPUTED_VALUE"""),0)</f>
        <v>0</v>
      </c>
      <c r="I71" s="23">
        <f ca="1">IFERROR(__xludf.DUMMYFUNCTION("""COMPUTED_VALUE"""),0)</f>
        <v>0</v>
      </c>
      <c r="J71" s="23">
        <f ca="1">IFERROR(__xludf.DUMMYFUNCTION("""COMPUTED_VALUE"""),200)</f>
        <v>200</v>
      </c>
      <c r="K71" s="23">
        <f ca="1">IFERROR(__xludf.DUMMYFUNCTION("""COMPUTED_VALUE"""),180)</f>
        <v>180</v>
      </c>
      <c r="L71" s="23">
        <f ca="1">IFERROR(__xludf.DUMMYFUNCTION("""COMPUTED_VALUE"""),200)</f>
        <v>200</v>
      </c>
      <c r="M71" s="23">
        <f ca="1">IFERROR(__xludf.DUMMYFUNCTION("""COMPUTED_VALUE"""),0)</f>
        <v>0</v>
      </c>
      <c r="N71" s="23">
        <f ca="1">IFERROR(__xludf.DUMMYFUNCTION("""COMPUTED_VALUE"""),0)</f>
        <v>0</v>
      </c>
      <c r="O71" s="23">
        <f ca="1">IFERROR(__xludf.DUMMYFUNCTION("""COMPUTED_VALUE"""),0)</f>
        <v>0</v>
      </c>
      <c r="P71" s="23">
        <f ca="1">IFERROR(__xludf.DUMMYFUNCTION("""COMPUTED_VALUE"""),0)</f>
        <v>0</v>
      </c>
      <c r="Q71" s="23">
        <f ca="1">IFERROR(__xludf.DUMMYFUNCTION("""COMPUTED_VALUE"""),0)</f>
        <v>0</v>
      </c>
      <c r="R71" s="23">
        <f ca="1">IFERROR(__xludf.DUMMYFUNCTION("""COMPUTED_VALUE"""),0)</f>
        <v>0</v>
      </c>
      <c r="S71" s="23">
        <f ca="1">IFERROR(__xludf.DUMMYFUNCTION("""COMPUTED_VALUE"""),580)</f>
        <v>580</v>
      </c>
    </row>
    <row r="72" spans="1:19">
      <c r="A72" s="23" t="str">
        <f ca="1">IFERROR(__xludf.DUMMYFUNCTION("""COMPUTED_VALUE"""),"CONSULTAS MEDICAS A POBLACION EN GENERAL")</f>
        <v>CONSULTAS MEDICAS A POBLACION EN GENERAL</v>
      </c>
      <c r="B72" s="23">
        <f ca="1">IFERROR(__xludf.DUMMYFUNCTION("""COMPUTED_VALUE"""),1)</f>
        <v>1</v>
      </c>
      <c r="C72" s="23"/>
      <c r="D72" s="23" t="str">
        <f ca="1">IFERROR(__xludf.DUMMYFUNCTION("""COMPUTED_VALUE"""),"ASCENDENTE")</f>
        <v>ASCENDENTE</v>
      </c>
      <c r="E72" s="23" t="str">
        <f ca="1">IFERROR(__xludf.DUMMYFUNCTION("""COMPUTED_VALUE"""),"BITACORA OPERATIVA")</f>
        <v>BITACORA OPERATIVA</v>
      </c>
      <c r="F72" s="23">
        <f ca="1">IFERROR(__xludf.DUMMYFUNCTION("""COMPUTED_VALUE"""),0)</f>
        <v>0</v>
      </c>
      <c r="G72" s="23">
        <f ca="1">IFERROR(__xludf.DUMMYFUNCTION("""COMPUTED_VALUE"""),0)</f>
        <v>0</v>
      </c>
      <c r="H72" s="23">
        <f ca="1">IFERROR(__xludf.DUMMYFUNCTION("""COMPUTED_VALUE"""),0)</f>
        <v>0</v>
      </c>
      <c r="I72" s="23">
        <f ca="1">IFERROR(__xludf.DUMMYFUNCTION("""COMPUTED_VALUE"""),0)</f>
        <v>0</v>
      </c>
      <c r="J72" s="23">
        <f ca="1">IFERROR(__xludf.DUMMYFUNCTION("""COMPUTED_VALUE"""),24)</f>
        <v>24</v>
      </c>
      <c r="K72" s="23">
        <f ca="1">IFERROR(__xludf.DUMMYFUNCTION("""COMPUTED_VALUE"""),95)</f>
        <v>95</v>
      </c>
      <c r="L72" s="23">
        <f ca="1">IFERROR(__xludf.DUMMYFUNCTION("""COMPUTED_VALUE"""),136)</f>
        <v>136</v>
      </c>
      <c r="M72" s="23">
        <f ca="1">IFERROR(__xludf.DUMMYFUNCTION("""COMPUTED_VALUE"""),0)</f>
        <v>0</v>
      </c>
      <c r="N72" s="23">
        <f ca="1">IFERROR(__xludf.DUMMYFUNCTION("""COMPUTED_VALUE"""),0)</f>
        <v>0</v>
      </c>
      <c r="O72" s="23">
        <f ca="1">IFERROR(__xludf.DUMMYFUNCTION("""COMPUTED_VALUE"""),0)</f>
        <v>0</v>
      </c>
      <c r="P72" s="23">
        <f ca="1">IFERROR(__xludf.DUMMYFUNCTION("""COMPUTED_VALUE"""),0)</f>
        <v>0</v>
      </c>
      <c r="Q72" s="23">
        <f ca="1">IFERROR(__xludf.DUMMYFUNCTION("""COMPUTED_VALUE"""),0)</f>
        <v>0</v>
      </c>
      <c r="R72" s="23">
        <f ca="1">IFERROR(__xludf.DUMMYFUNCTION("""COMPUTED_VALUE"""),0)</f>
        <v>0</v>
      </c>
      <c r="S72" s="23">
        <f ca="1">IFERROR(__xludf.DUMMYFUNCTION("""COMPUTED_VALUE"""),255)</f>
        <v>255</v>
      </c>
    </row>
    <row r="73" spans="1:19">
      <c r="A73" s="23" t="str">
        <f ca="1">IFERROR(__xludf.DUMMYFUNCTION("""COMPUTED_VALUE"""),"INCAPACIDADES OTORGADAS A SERVIDORES PUBLICOS")</f>
        <v>INCAPACIDADES OTORGADAS A SERVIDORES PUBLICOS</v>
      </c>
      <c r="B73" s="23">
        <f ca="1">IFERROR(__xludf.DUMMYFUNCTION("""COMPUTED_VALUE"""),1)</f>
        <v>1</v>
      </c>
      <c r="C73" s="23"/>
      <c r="D73" s="23" t="str">
        <f ca="1">IFERROR(__xludf.DUMMYFUNCTION("""COMPUTED_VALUE"""),"ASCENDENTE")</f>
        <v>ASCENDENTE</v>
      </c>
      <c r="E73" s="23" t="str">
        <f ca="1">IFERROR(__xludf.DUMMYFUNCTION("""COMPUTED_VALUE"""),"BITACORA OPERATIVA")</f>
        <v>BITACORA OPERATIVA</v>
      </c>
      <c r="F73" s="23">
        <f ca="1">IFERROR(__xludf.DUMMYFUNCTION("""COMPUTED_VALUE"""),0)</f>
        <v>0</v>
      </c>
      <c r="G73" s="23">
        <f ca="1">IFERROR(__xludf.DUMMYFUNCTION("""COMPUTED_VALUE"""),0)</f>
        <v>0</v>
      </c>
      <c r="H73" s="23">
        <f ca="1">IFERROR(__xludf.DUMMYFUNCTION("""COMPUTED_VALUE"""),0)</f>
        <v>0</v>
      </c>
      <c r="I73" s="23">
        <f ca="1">IFERROR(__xludf.DUMMYFUNCTION("""COMPUTED_VALUE"""),0)</f>
        <v>0</v>
      </c>
      <c r="J73" s="23">
        <f ca="1">IFERROR(__xludf.DUMMYFUNCTION("""COMPUTED_VALUE"""),400)</f>
        <v>400</v>
      </c>
      <c r="K73" s="23">
        <f ca="1">IFERROR(__xludf.DUMMYFUNCTION("""COMPUTED_VALUE"""),568)</f>
        <v>568</v>
      </c>
      <c r="L73" s="23">
        <f ca="1">IFERROR(__xludf.DUMMYFUNCTION("""COMPUTED_VALUE"""),706)</f>
        <v>706</v>
      </c>
      <c r="M73" s="23">
        <f ca="1">IFERROR(__xludf.DUMMYFUNCTION("""COMPUTED_VALUE"""),0)</f>
        <v>0</v>
      </c>
      <c r="N73" s="23">
        <f ca="1">IFERROR(__xludf.DUMMYFUNCTION("""COMPUTED_VALUE"""),0)</f>
        <v>0</v>
      </c>
      <c r="O73" s="23">
        <f ca="1">IFERROR(__xludf.DUMMYFUNCTION("""COMPUTED_VALUE"""),0)</f>
        <v>0</v>
      </c>
      <c r="P73" s="23">
        <f ca="1">IFERROR(__xludf.DUMMYFUNCTION("""COMPUTED_VALUE"""),0)</f>
        <v>0</v>
      </c>
      <c r="Q73" s="23">
        <f ca="1">IFERROR(__xludf.DUMMYFUNCTION("""COMPUTED_VALUE"""),0)</f>
        <v>0</v>
      </c>
      <c r="R73" s="23">
        <f ca="1">IFERROR(__xludf.DUMMYFUNCTION("""COMPUTED_VALUE"""),0)</f>
        <v>0</v>
      </c>
      <c r="S73" s="23">
        <f ca="1">IFERROR(__xludf.DUMMYFUNCTION("""COMPUTED_VALUE"""),1674)</f>
        <v>1674</v>
      </c>
    </row>
    <row r="74" spans="1:19">
      <c r="A74" s="23" t="str">
        <f ca="1">IFERROR(__xludf.DUMMYFUNCTION("""COMPUTED_VALUE"""),"DIAS DE INCAPACIDAD OTORGADOS")</f>
        <v>DIAS DE INCAPACIDAD OTORGADOS</v>
      </c>
      <c r="B74" s="23">
        <f ca="1">IFERROR(__xludf.DUMMYFUNCTION("""COMPUTED_VALUE"""),1)</f>
        <v>1</v>
      </c>
      <c r="C74" s="23"/>
      <c r="D74" s="23" t="str">
        <f ca="1">IFERROR(__xludf.DUMMYFUNCTION("""COMPUTED_VALUE"""),"ASCENDENTE")</f>
        <v>ASCENDENTE</v>
      </c>
      <c r="E74" s="23" t="str">
        <f ca="1">IFERROR(__xludf.DUMMYFUNCTION("""COMPUTED_VALUE"""),"BITACORA OPERATIVA")</f>
        <v>BITACORA OPERATIVA</v>
      </c>
      <c r="F74" s="23">
        <f ca="1">IFERROR(__xludf.DUMMYFUNCTION("""COMPUTED_VALUE"""),0)</f>
        <v>0</v>
      </c>
      <c r="G74" s="23">
        <f ca="1">IFERROR(__xludf.DUMMYFUNCTION("""COMPUTED_VALUE"""),0)</f>
        <v>0</v>
      </c>
      <c r="H74" s="23">
        <f ca="1">IFERROR(__xludf.DUMMYFUNCTION("""COMPUTED_VALUE"""),0)</f>
        <v>0</v>
      </c>
      <c r="I74" s="23">
        <f ca="1">IFERROR(__xludf.DUMMYFUNCTION("""COMPUTED_VALUE"""),0)</f>
        <v>0</v>
      </c>
      <c r="J74" s="23">
        <f ca="1">IFERROR(__xludf.DUMMYFUNCTION("""COMPUTED_VALUE"""),1500)</f>
        <v>1500</v>
      </c>
      <c r="K74" s="23">
        <f ca="1">IFERROR(__xludf.DUMMYFUNCTION("""COMPUTED_VALUE"""),1200)</f>
        <v>1200</v>
      </c>
      <c r="L74" s="23">
        <f ca="1">IFERROR(__xludf.DUMMYFUNCTION("""COMPUTED_VALUE"""),1300)</f>
        <v>1300</v>
      </c>
      <c r="M74" s="23">
        <f ca="1">IFERROR(__xludf.DUMMYFUNCTION("""COMPUTED_VALUE"""),0)</f>
        <v>0</v>
      </c>
      <c r="N74" s="23">
        <f ca="1">IFERROR(__xludf.DUMMYFUNCTION("""COMPUTED_VALUE"""),0)</f>
        <v>0</v>
      </c>
      <c r="O74" s="23">
        <f ca="1">IFERROR(__xludf.DUMMYFUNCTION("""COMPUTED_VALUE"""),0)</f>
        <v>0</v>
      </c>
      <c r="P74" s="23">
        <f ca="1">IFERROR(__xludf.DUMMYFUNCTION("""COMPUTED_VALUE"""),0)</f>
        <v>0</v>
      </c>
      <c r="Q74" s="23">
        <f ca="1">IFERROR(__xludf.DUMMYFUNCTION("""COMPUTED_VALUE"""),0)</f>
        <v>0</v>
      </c>
      <c r="R74" s="23">
        <f ca="1">IFERROR(__xludf.DUMMYFUNCTION("""COMPUTED_VALUE"""),0)</f>
        <v>0</v>
      </c>
      <c r="S74" s="23">
        <f ca="1">IFERROR(__xludf.DUMMYFUNCTION("""COMPUTED_VALUE"""),4000)</f>
        <v>4000</v>
      </c>
    </row>
    <row r="75" spans="1:19">
      <c r="A75" s="23" t="str">
        <f ca="1">IFERROR(__xludf.DUMMYFUNCTION("""COMPUTED_VALUE"""),"RECETAS EXPEDIDAS A PERSONAL DEL AYUNTAMIENTO")</f>
        <v>RECETAS EXPEDIDAS A PERSONAL DEL AYUNTAMIENTO</v>
      </c>
      <c r="B75" s="23">
        <f ca="1">IFERROR(__xludf.DUMMYFUNCTION("""COMPUTED_VALUE"""),1)</f>
        <v>1</v>
      </c>
      <c r="C75" s="23"/>
      <c r="D75" s="23" t="str">
        <f ca="1">IFERROR(__xludf.DUMMYFUNCTION("""COMPUTED_VALUE"""),"ASCENDENTE")</f>
        <v>ASCENDENTE</v>
      </c>
      <c r="E75" s="23" t="str">
        <f ca="1">IFERROR(__xludf.DUMMYFUNCTION("""COMPUTED_VALUE"""),"BITACORA OPERATIVA")</f>
        <v>BITACORA OPERATIVA</v>
      </c>
      <c r="F75" s="23">
        <f ca="1">IFERROR(__xludf.DUMMYFUNCTION("""COMPUTED_VALUE"""),0)</f>
        <v>0</v>
      </c>
      <c r="G75" s="23">
        <f ca="1">IFERROR(__xludf.DUMMYFUNCTION("""COMPUTED_VALUE"""),0)</f>
        <v>0</v>
      </c>
      <c r="H75" s="23">
        <f ca="1">IFERROR(__xludf.DUMMYFUNCTION("""COMPUTED_VALUE"""),0)</f>
        <v>0</v>
      </c>
      <c r="I75" s="23">
        <f ca="1">IFERROR(__xludf.DUMMYFUNCTION("""COMPUTED_VALUE"""),0)</f>
        <v>0</v>
      </c>
      <c r="J75" s="23">
        <f ca="1">IFERROR(__xludf.DUMMYFUNCTION("""COMPUTED_VALUE"""),500)</f>
        <v>500</v>
      </c>
      <c r="K75" s="23">
        <f ca="1">IFERROR(__xludf.DUMMYFUNCTION("""COMPUTED_VALUE"""),300)</f>
        <v>300</v>
      </c>
      <c r="L75" s="23">
        <f ca="1">IFERROR(__xludf.DUMMYFUNCTION("""COMPUTED_VALUE"""),400)</f>
        <v>400</v>
      </c>
      <c r="M75" s="23">
        <f ca="1">IFERROR(__xludf.DUMMYFUNCTION("""COMPUTED_VALUE"""),0)</f>
        <v>0</v>
      </c>
      <c r="N75" s="23">
        <f ca="1">IFERROR(__xludf.DUMMYFUNCTION("""COMPUTED_VALUE"""),0)</f>
        <v>0</v>
      </c>
      <c r="O75" s="23">
        <f ca="1">IFERROR(__xludf.DUMMYFUNCTION("""COMPUTED_VALUE"""),0)</f>
        <v>0</v>
      </c>
      <c r="P75" s="23">
        <f ca="1">IFERROR(__xludf.DUMMYFUNCTION("""COMPUTED_VALUE"""),0)</f>
        <v>0</v>
      </c>
      <c r="Q75" s="23">
        <f ca="1">IFERROR(__xludf.DUMMYFUNCTION("""COMPUTED_VALUE"""),0)</f>
        <v>0</v>
      </c>
      <c r="R75" s="23">
        <f ca="1">IFERROR(__xludf.DUMMYFUNCTION("""COMPUTED_VALUE"""),0)</f>
        <v>0</v>
      </c>
      <c r="S75" s="23">
        <f ca="1">IFERROR(__xludf.DUMMYFUNCTION("""COMPUTED_VALUE"""),1200)</f>
        <v>1200</v>
      </c>
    </row>
    <row r="76" spans="1:19">
      <c r="A76" s="23" t="str">
        <f ca="1">IFERROR(__xludf.DUMMYFUNCTION("""COMPUTED_VALUE"""),"RECETAS EXPEDIDAS A POBLACION EN GENERAL")</f>
        <v>RECETAS EXPEDIDAS A POBLACION EN GENERAL</v>
      </c>
      <c r="B76" s="23">
        <f ca="1">IFERROR(__xludf.DUMMYFUNCTION("""COMPUTED_VALUE"""),1)</f>
        <v>1</v>
      </c>
      <c r="C76" s="23"/>
      <c r="D76" s="23" t="str">
        <f ca="1">IFERROR(__xludf.DUMMYFUNCTION("""COMPUTED_VALUE"""),"ASCENDENTE")</f>
        <v>ASCENDENTE</v>
      </c>
      <c r="E76" s="23" t="str">
        <f ca="1">IFERROR(__xludf.DUMMYFUNCTION("""COMPUTED_VALUE"""),"BITACORA OPERATIVA")</f>
        <v>BITACORA OPERATIVA</v>
      </c>
      <c r="F76" s="23">
        <f ca="1">IFERROR(__xludf.DUMMYFUNCTION("""COMPUTED_VALUE"""),0)</f>
        <v>0</v>
      </c>
      <c r="G76" s="23">
        <f ca="1">IFERROR(__xludf.DUMMYFUNCTION("""COMPUTED_VALUE"""),0)</f>
        <v>0</v>
      </c>
      <c r="H76" s="23">
        <f ca="1">IFERROR(__xludf.DUMMYFUNCTION("""COMPUTED_VALUE"""),0)</f>
        <v>0</v>
      </c>
      <c r="I76" s="23">
        <f ca="1">IFERROR(__xludf.DUMMYFUNCTION("""COMPUTED_VALUE"""),0)</f>
        <v>0</v>
      </c>
      <c r="J76" s="23">
        <f ca="1">IFERROR(__xludf.DUMMYFUNCTION("""COMPUTED_VALUE"""),80)</f>
        <v>80</v>
      </c>
      <c r="K76" s="23">
        <f ca="1">IFERROR(__xludf.DUMMYFUNCTION("""COMPUTED_VALUE"""),90)</f>
        <v>90</v>
      </c>
      <c r="L76" s="23">
        <f ca="1">IFERROR(__xludf.DUMMYFUNCTION("""COMPUTED_VALUE"""),80)</f>
        <v>80</v>
      </c>
      <c r="M76" s="23">
        <f ca="1">IFERROR(__xludf.DUMMYFUNCTION("""COMPUTED_VALUE"""),0)</f>
        <v>0</v>
      </c>
      <c r="N76" s="23">
        <f ca="1">IFERROR(__xludf.DUMMYFUNCTION("""COMPUTED_VALUE"""),0)</f>
        <v>0</v>
      </c>
      <c r="O76" s="23">
        <f ca="1">IFERROR(__xludf.DUMMYFUNCTION("""COMPUTED_VALUE"""),0)</f>
        <v>0</v>
      </c>
      <c r="P76" s="23">
        <f ca="1">IFERROR(__xludf.DUMMYFUNCTION("""COMPUTED_VALUE"""),0)</f>
        <v>0</v>
      </c>
      <c r="Q76" s="23">
        <f ca="1">IFERROR(__xludf.DUMMYFUNCTION("""COMPUTED_VALUE"""),0)</f>
        <v>0</v>
      </c>
      <c r="R76" s="23">
        <f ca="1">IFERROR(__xludf.DUMMYFUNCTION("""COMPUTED_VALUE"""),0)</f>
        <v>0</v>
      </c>
      <c r="S76" s="23">
        <f ca="1">IFERROR(__xludf.DUMMYFUNCTION("""COMPUTED_VALUE"""),250)</f>
        <v>250</v>
      </c>
    </row>
    <row r="77" spans="1:19">
      <c r="A77" s="23" t="str">
        <f ca="1">IFERROR(__xludf.DUMMYFUNCTION("""COMPUTED_VALUE"""),"EMERGENCIAS ATENDIDAS EN LA UNIDAD MEDICA")</f>
        <v>EMERGENCIAS ATENDIDAS EN LA UNIDAD MEDICA</v>
      </c>
      <c r="B77" s="23">
        <f ca="1">IFERROR(__xludf.DUMMYFUNCTION("""COMPUTED_VALUE"""),1)</f>
        <v>1</v>
      </c>
      <c r="C77" s="23"/>
      <c r="D77" s="23" t="str">
        <f ca="1">IFERROR(__xludf.DUMMYFUNCTION("""COMPUTED_VALUE"""),"ASCENDENTE")</f>
        <v>ASCENDENTE</v>
      </c>
      <c r="E77" s="23" t="str">
        <f ca="1">IFERROR(__xludf.DUMMYFUNCTION("""COMPUTED_VALUE"""),"BITACORA OPERATIVA")</f>
        <v>BITACORA OPERATIVA</v>
      </c>
      <c r="F77" s="23">
        <f ca="1">IFERROR(__xludf.DUMMYFUNCTION("""COMPUTED_VALUE"""),0)</f>
        <v>0</v>
      </c>
      <c r="G77" s="23">
        <f ca="1">IFERROR(__xludf.DUMMYFUNCTION("""COMPUTED_VALUE"""),0)</f>
        <v>0</v>
      </c>
      <c r="H77" s="23">
        <f ca="1">IFERROR(__xludf.DUMMYFUNCTION("""COMPUTED_VALUE"""),0)</f>
        <v>0</v>
      </c>
      <c r="I77" s="23">
        <f ca="1">IFERROR(__xludf.DUMMYFUNCTION("""COMPUTED_VALUE"""),0)</f>
        <v>0</v>
      </c>
      <c r="J77" s="23">
        <f ca="1">IFERROR(__xludf.DUMMYFUNCTION("""COMPUTED_VALUE"""),0)</f>
        <v>0</v>
      </c>
      <c r="K77" s="23">
        <f ca="1">IFERROR(__xludf.DUMMYFUNCTION("""COMPUTED_VALUE"""),0)</f>
        <v>0</v>
      </c>
      <c r="L77" s="23">
        <f ca="1">IFERROR(__xludf.DUMMYFUNCTION("""COMPUTED_VALUE"""),0)</f>
        <v>0</v>
      </c>
      <c r="M77" s="23">
        <f ca="1">IFERROR(__xludf.DUMMYFUNCTION("""COMPUTED_VALUE"""),0)</f>
        <v>0</v>
      </c>
      <c r="N77" s="23">
        <f ca="1">IFERROR(__xludf.DUMMYFUNCTION("""COMPUTED_VALUE"""),0)</f>
        <v>0</v>
      </c>
      <c r="O77" s="23">
        <f ca="1">IFERROR(__xludf.DUMMYFUNCTION("""COMPUTED_VALUE"""),0)</f>
        <v>0</v>
      </c>
      <c r="P77" s="23">
        <f ca="1">IFERROR(__xludf.DUMMYFUNCTION("""COMPUTED_VALUE"""),0)</f>
        <v>0</v>
      </c>
      <c r="Q77" s="23">
        <f ca="1">IFERROR(__xludf.DUMMYFUNCTION("""COMPUTED_VALUE"""),0)</f>
        <v>0</v>
      </c>
      <c r="R77" s="23">
        <f ca="1">IFERROR(__xludf.DUMMYFUNCTION("""COMPUTED_VALUE"""),0)</f>
        <v>0</v>
      </c>
      <c r="S77" s="23">
        <f ca="1">IFERROR(__xludf.DUMMYFUNCTION("""COMPUTED_VALUE"""),0)</f>
        <v>0</v>
      </c>
    </row>
    <row r="78" spans="1:19">
      <c r="A78" s="23" t="str">
        <f ca="1">IFERROR(__xludf.DUMMYFUNCTION("""COMPUTED_VALUE"""),"EMERGENCIAS ATENDIDAS EN VIA PUBLICA")</f>
        <v>EMERGENCIAS ATENDIDAS EN VIA PUBLICA</v>
      </c>
      <c r="B78" s="23">
        <f ca="1">IFERROR(__xludf.DUMMYFUNCTION("""COMPUTED_VALUE"""),1)</f>
        <v>1</v>
      </c>
      <c r="C78" s="23"/>
      <c r="D78" s="23" t="str">
        <f ca="1">IFERROR(__xludf.DUMMYFUNCTION("""COMPUTED_VALUE"""),"ASCENDENTE")</f>
        <v>ASCENDENTE</v>
      </c>
      <c r="E78" s="23" t="str">
        <f ca="1">IFERROR(__xludf.DUMMYFUNCTION("""COMPUTED_VALUE"""),"BITACORA OPERATIVA")</f>
        <v>BITACORA OPERATIVA</v>
      </c>
      <c r="F78" s="23">
        <f ca="1">IFERROR(__xludf.DUMMYFUNCTION("""COMPUTED_VALUE"""),0)</f>
        <v>0</v>
      </c>
      <c r="G78" s="23">
        <f ca="1">IFERROR(__xludf.DUMMYFUNCTION("""COMPUTED_VALUE"""),0)</f>
        <v>0</v>
      </c>
      <c r="H78" s="23">
        <f ca="1">IFERROR(__xludf.DUMMYFUNCTION("""COMPUTED_VALUE"""),0)</f>
        <v>0</v>
      </c>
      <c r="I78" s="23">
        <f ca="1">IFERROR(__xludf.DUMMYFUNCTION("""COMPUTED_VALUE"""),0)</f>
        <v>0</v>
      </c>
      <c r="J78" s="23">
        <f ca="1">IFERROR(__xludf.DUMMYFUNCTION("""COMPUTED_VALUE"""),60)</f>
        <v>60</v>
      </c>
      <c r="K78" s="23">
        <f ca="1">IFERROR(__xludf.DUMMYFUNCTION("""COMPUTED_VALUE"""),80)</f>
        <v>80</v>
      </c>
      <c r="L78" s="23">
        <f ca="1">IFERROR(__xludf.DUMMYFUNCTION("""COMPUTED_VALUE"""),70)</f>
        <v>70</v>
      </c>
      <c r="M78" s="23">
        <f ca="1">IFERROR(__xludf.DUMMYFUNCTION("""COMPUTED_VALUE"""),0)</f>
        <v>0</v>
      </c>
      <c r="N78" s="23">
        <f ca="1">IFERROR(__xludf.DUMMYFUNCTION("""COMPUTED_VALUE"""),0)</f>
        <v>0</v>
      </c>
      <c r="O78" s="23">
        <f ca="1">IFERROR(__xludf.DUMMYFUNCTION("""COMPUTED_VALUE"""),0)</f>
        <v>0</v>
      </c>
      <c r="P78" s="23">
        <f ca="1">IFERROR(__xludf.DUMMYFUNCTION("""COMPUTED_VALUE"""),0)</f>
        <v>0</v>
      </c>
      <c r="Q78" s="23">
        <f ca="1">IFERROR(__xludf.DUMMYFUNCTION("""COMPUTED_VALUE"""),0)</f>
        <v>0</v>
      </c>
      <c r="R78" s="23">
        <f ca="1">IFERROR(__xludf.DUMMYFUNCTION("""COMPUTED_VALUE"""),0)</f>
        <v>0</v>
      </c>
      <c r="S78" s="23">
        <f ca="1">IFERROR(__xludf.DUMMYFUNCTION("""COMPUTED_VALUE"""),210)</f>
        <v>210</v>
      </c>
    </row>
    <row r="79" spans="1:19">
      <c r="A79" s="23" t="str">
        <f ca="1">IFERROR(__xludf.DUMMYFUNCTION("""COMPUTED_VALUE"""),"CERTIFICADOS MEDICOS EXPEDIDOS A PERSONAL DEL AYUNTAMIENTO")</f>
        <v>CERTIFICADOS MEDICOS EXPEDIDOS A PERSONAL DEL AYUNTAMIENTO</v>
      </c>
      <c r="B79" s="23">
        <f ca="1">IFERROR(__xludf.DUMMYFUNCTION("""COMPUTED_VALUE"""),1)</f>
        <v>1</v>
      </c>
      <c r="C79" s="23"/>
      <c r="D79" s="23" t="str">
        <f ca="1">IFERROR(__xludf.DUMMYFUNCTION("""COMPUTED_VALUE"""),"ASCENDENTE")</f>
        <v>ASCENDENTE</v>
      </c>
      <c r="E79" s="23" t="str">
        <f ca="1">IFERROR(__xludf.DUMMYFUNCTION("""COMPUTED_VALUE"""),"BITACORA OPERATIVA")</f>
        <v>BITACORA OPERATIVA</v>
      </c>
      <c r="F79" s="23">
        <f ca="1">IFERROR(__xludf.DUMMYFUNCTION("""COMPUTED_VALUE"""),0)</f>
        <v>0</v>
      </c>
      <c r="G79" s="23">
        <f ca="1">IFERROR(__xludf.DUMMYFUNCTION("""COMPUTED_VALUE"""),0)</f>
        <v>0</v>
      </c>
      <c r="H79" s="23">
        <f ca="1">IFERROR(__xludf.DUMMYFUNCTION("""COMPUTED_VALUE"""),0)</f>
        <v>0</v>
      </c>
      <c r="I79" s="23">
        <f ca="1">IFERROR(__xludf.DUMMYFUNCTION("""COMPUTED_VALUE"""),0)</f>
        <v>0</v>
      </c>
      <c r="J79" s="23">
        <f ca="1">IFERROR(__xludf.DUMMYFUNCTION("""COMPUTED_VALUE"""),100)</f>
        <v>100</v>
      </c>
      <c r="K79" s="23">
        <f ca="1">IFERROR(__xludf.DUMMYFUNCTION("""COMPUTED_VALUE"""),70)</f>
        <v>70</v>
      </c>
      <c r="L79" s="23">
        <f ca="1">IFERROR(__xludf.DUMMYFUNCTION("""COMPUTED_VALUE"""),70)</f>
        <v>70</v>
      </c>
      <c r="M79" s="23">
        <f ca="1">IFERROR(__xludf.DUMMYFUNCTION("""COMPUTED_VALUE"""),0)</f>
        <v>0</v>
      </c>
      <c r="N79" s="23">
        <f ca="1">IFERROR(__xludf.DUMMYFUNCTION("""COMPUTED_VALUE"""),0)</f>
        <v>0</v>
      </c>
      <c r="O79" s="23">
        <f ca="1">IFERROR(__xludf.DUMMYFUNCTION("""COMPUTED_VALUE"""),0)</f>
        <v>0</v>
      </c>
      <c r="P79" s="23">
        <f ca="1">IFERROR(__xludf.DUMMYFUNCTION("""COMPUTED_VALUE"""),0)</f>
        <v>0</v>
      </c>
      <c r="Q79" s="23">
        <f ca="1">IFERROR(__xludf.DUMMYFUNCTION("""COMPUTED_VALUE"""),0)</f>
        <v>0</v>
      </c>
      <c r="R79" s="23">
        <f ca="1">IFERROR(__xludf.DUMMYFUNCTION("""COMPUTED_VALUE"""),0)</f>
        <v>0</v>
      </c>
      <c r="S79" s="23">
        <f ca="1">IFERROR(__xludf.DUMMYFUNCTION("""COMPUTED_VALUE"""),240)</f>
        <v>240</v>
      </c>
    </row>
    <row r="80" spans="1:19">
      <c r="A80" s="23" t="str">
        <f ca="1">IFERROR(__xludf.DUMMYFUNCTION("""COMPUTED_VALUE"""),"CERTIFICADOS MEDICOS EXPEDIDOS A POBLACION EN GENERAL")</f>
        <v>CERTIFICADOS MEDICOS EXPEDIDOS A POBLACION EN GENERAL</v>
      </c>
      <c r="B80" s="23">
        <f ca="1">IFERROR(__xludf.DUMMYFUNCTION("""COMPUTED_VALUE"""),1)</f>
        <v>1</v>
      </c>
      <c r="C80" s="23"/>
      <c r="D80" s="23" t="str">
        <f ca="1">IFERROR(__xludf.DUMMYFUNCTION("""COMPUTED_VALUE"""),"ASCENDENTE")</f>
        <v>ASCENDENTE</v>
      </c>
      <c r="E80" s="23" t="str">
        <f ca="1">IFERROR(__xludf.DUMMYFUNCTION("""COMPUTED_VALUE"""),"BITACORA OPERATIVA")</f>
        <v>BITACORA OPERATIVA</v>
      </c>
      <c r="F80" s="23">
        <f ca="1">IFERROR(__xludf.DUMMYFUNCTION("""COMPUTED_VALUE"""),0)</f>
        <v>0</v>
      </c>
      <c r="G80" s="23">
        <f ca="1">IFERROR(__xludf.DUMMYFUNCTION("""COMPUTED_VALUE"""),0)</f>
        <v>0</v>
      </c>
      <c r="H80" s="23">
        <f ca="1">IFERROR(__xludf.DUMMYFUNCTION("""COMPUTED_VALUE"""),0)</f>
        <v>0</v>
      </c>
      <c r="I80" s="23">
        <f ca="1">IFERROR(__xludf.DUMMYFUNCTION("""COMPUTED_VALUE"""),0)</f>
        <v>0</v>
      </c>
      <c r="J80" s="23">
        <f ca="1">IFERROR(__xludf.DUMMYFUNCTION("""COMPUTED_VALUE"""),1)</f>
        <v>1</v>
      </c>
      <c r="K80" s="23">
        <f ca="1">IFERROR(__xludf.DUMMYFUNCTION("""COMPUTED_VALUE"""),1)</f>
        <v>1</v>
      </c>
      <c r="L80" s="23">
        <f ca="1">IFERROR(__xludf.DUMMYFUNCTION("""COMPUTED_VALUE"""),1)</f>
        <v>1</v>
      </c>
      <c r="M80" s="23">
        <f ca="1">IFERROR(__xludf.DUMMYFUNCTION("""COMPUTED_VALUE"""),0)</f>
        <v>0</v>
      </c>
      <c r="N80" s="23">
        <f ca="1">IFERROR(__xludf.DUMMYFUNCTION("""COMPUTED_VALUE"""),0)</f>
        <v>0</v>
      </c>
      <c r="O80" s="23">
        <f ca="1">IFERROR(__xludf.DUMMYFUNCTION("""COMPUTED_VALUE"""),0)</f>
        <v>0</v>
      </c>
      <c r="P80" s="23">
        <f ca="1">IFERROR(__xludf.DUMMYFUNCTION("""COMPUTED_VALUE"""),0)</f>
        <v>0</v>
      </c>
      <c r="Q80" s="23">
        <f ca="1">IFERROR(__xludf.DUMMYFUNCTION("""COMPUTED_VALUE"""),0)</f>
        <v>0</v>
      </c>
      <c r="R80" s="23">
        <f ca="1">IFERROR(__xludf.DUMMYFUNCTION("""COMPUTED_VALUE"""),0)</f>
        <v>0</v>
      </c>
      <c r="S80" s="23">
        <f ca="1">IFERROR(__xludf.DUMMYFUNCTION("""COMPUTED_VALUE"""),3)</f>
        <v>3</v>
      </c>
    </row>
    <row r="81" spans="1:19">
      <c r="A81" s="23" t="str">
        <f ca="1">IFERROR(__xludf.DUMMYFUNCTION("""COMPUTED_VALUE"""),"PLÁTICAS DE NUTRICIÓN, MEDICINA DENTAL Y ENFERMERÍA ")</f>
        <v xml:space="preserve">PLÁTICAS DE NUTRICIÓN, MEDICINA DENTAL Y ENFERMERÍA </v>
      </c>
      <c r="B81" s="23">
        <f ca="1">IFERROR(__xludf.DUMMYFUNCTION("""COMPUTED_VALUE"""),1)</f>
        <v>1</v>
      </c>
      <c r="C81" s="23"/>
      <c r="D81" s="23" t="str">
        <f ca="1">IFERROR(__xludf.DUMMYFUNCTION("""COMPUTED_VALUE"""),"ASCENDENTE")</f>
        <v>ASCENDENTE</v>
      </c>
      <c r="E81" s="23" t="str">
        <f ca="1">IFERROR(__xludf.DUMMYFUNCTION("""COMPUTED_VALUE"""),"BITACORA OPERATIVA")</f>
        <v>BITACORA OPERATIVA</v>
      </c>
      <c r="F81" s="23">
        <f ca="1">IFERROR(__xludf.DUMMYFUNCTION("""COMPUTED_VALUE"""),0)</f>
        <v>0</v>
      </c>
      <c r="G81" s="23">
        <f ca="1">IFERROR(__xludf.DUMMYFUNCTION("""COMPUTED_VALUE"""),0)</f>
        <v>0</v>
      </c>
      <c r="H81" s="23">
        <f ca="1">IFERROR(__xludf.DUMMYFUNCTION("""COMPUTED_VALUE"""),0)</f>
        <v>0</v>
      </c>
      <c r="I81" s="23">
        <f ca="1">IFERROR(__xludf.DUMMYFUNCTION("""COMPUTED_VALUE"""),0)</f>
        <v>0</v>
      </c>
      <c r="J81" s="23">
        <f ca="1">IFERROR(__xludf.DUMMYFUNCTION("""COMPUTED_VALUE"""),25)</f>
        <v>25</v>
      </c>
      <c r="K81" s="23">
        <f ca="1">IFERROR(__xludf.DUMMYFUNCTION("""COMPUTED_VALUE"""),30)</f>
        <v>30</v>
      </c>
      <c r="L81" s="23">
        <f ca="1">IFERROR(__xludf.DUMMYFUNCTION("""COMPUTED_VALUE"""),30)</f>
        <v>30</v>
      </c>
      <c r="M81" s="23">
        <f ca="1">IFERROR(__xludf.DUMMYFUNCTION("""COMPUTED_VALUE"""),0)</f>
        <v>0</v>
      </c>
      <c r="N81" s="23">
        <f ca="1">IFERROR(__xludf.DUMMYFUNCTION("""COMPUTED_VALUE"""),0)</f>
        <v>0</v>
      </c>
      <c r="O81" s="23">
        <f ca="1">IFERROR(__xludf.DUMMYFUNCTION("""COMPUTED_VALUE"""),0)</f>
        <v>0</v>
      </c>
      <c r="P81" s="23">
        <f ca="1">IFERROR(__xludf.DUMMYFUNCTION("""COMPUTED_VALUE"""),0)</f>
        <v>0</v>
      </c>
      <c r="Q81" s="23">
        <f ca="1">IFERROR(__xludf.DUMMYFUNCTION("""COMPUTED_VALUE"""),0)</f>
        <v>0</v>
      </c>
      <c r="R81" s="23">
        <f ca="1">IFERROR(__xludf.DUMMYFUNCTION("""COMPUTED_VALUE"""),0)</f>
        <v>0</v>
      </c>
      <c r="S81" s="23">
        <f ca="1">IFERROR(__xludf.DUMMYFUNCTION("""COMPUTED_VALUE"""),85)</f>
        <v>85</v>
      </c>
    </row>
    <row r="82" spans="1:19">
      <c r="A82" s="23" t="str">
        <f ca="1">IFERROR(__xludf.DUMMYFUNCTION("""COMPUTED_VALUE"""),"NÚMERO DE ASISTENTES")</f>
        <v>NÚMERO DE ASISTENTES</v>
      </c>
      <c r="B82" s="23">
        <f ca="1">IFERROR(__xludf.DUMMYFUNCTION("""COMPUTED_VALUE"""),1)</f>
        <v>1</v>
      </c>
      <c r="C82" s="23"/>
      <c r="D82" s="23" t="str">
        <f ca="1">IFERROR(__xludf.DUMMYFUNCTION("""COMPUTED_VALUE"""),"ASCENDENTE")</f>
        <v>ASCENDENTE</v>
      </c>
      <c r="E82" s="23" t="str">
        <f ca="1">IFERROR(__xludf.DUMMYFUNCTION("""COMPUTED_VALUE"""),"BITACORA OPERATIVA")</f>
        <v>BITACORA OPERATIVA</v>
      </c>
      <c r="F82" s="23">
        <f ca="1">IFERROR(__xludf.DUMMYFUNCTION("""COMPUTED_VALUE"""),0)</f>
        <v>0</v>
      </c>
      <c r="G82" s="23">
        <f ca="1">IFERROR(__xludf.DUMMYFUNCTION("""COMPUTED_VALUE"""),0)</f>
        <v>0</v>
      </c>
      <c r="H82" s="23">
        <f ca="1">IFERROR(__xludf.DUMMYFUNCTION("""COMPUTED_VALUE"""),0)</f>
        <v>0</v>
      </c>
      <c r="I82" s="23">
        <f ca="1">IFERROR(__xludf.DUMMYFUNCTION("""COMPUTED_VALUE"""),0)</f>
        <v>0</v>
      </c>
      <c r="J82" s="23">
        <f ca="1">IFERROR(__xludf.DUMMYFUNCTION("""COMPUTED_VALUE"""),1)</f>
        <v>1</v>
      </c>
      <c r="K82" s="23">
        <f ca="1">IFERROR(__xludf.DUMMYFUNCTION("""COMPUTED_VALUE"""),1)</f>
        <v>1</v>
      </c>
      <c r="L82" s="23">
        <f ca="1">IFERROR(__xludf.DUMMYFUNCTION("""COMPUTED_VALUE"""),1)</f>
        <v>1</v>
      </c>
      <c r="M82" s="23">
        <f ca="1">IFERROR(__xludf.DUMMYFUNCTION("""COMPUTED_VALUE"""),0)</f>
        <v>0</v>
      </c>
      <c r="N82" s="23">
        <f ca="1">IFERROR(__xludf.DUMMYFUNCTION("""COMPUTED_VALUE"""),0)</f>
        <v>0</v>
      </c>
      <c r="O82" s="23">
        <f ca="1">IFERROR(__xludf.DUMMYFUNCTION("""COMPUTED_VALUE"""),0)</f>
        <v>0</v>
      </c>
      <c r="P82" s="23">
        <f ca="1">IFERROR(__xludf.DUMMYFUNCTION("""COMPUTED_VALUE"""),0)</f>
        <v>0</v>
      </c>
      <c r="Q82" s="23">
        <f ca="1">IFERROR(__xludf.DUMMYFUNCTION("""COMPUTED_VALUE"""),0)</f>
        <v>0</v>
      </c>
      <c r="R82" s="23">
        <f ca="1">IFERROR(__xludf.DUMMYFUNCTION("""COMPUTED_VALUE"""),0)</f>
        <v>0</v>
      </c>
      <c r="S82" s="23">
        <f ca="1">IFERROR(__xludf.DUMMYFUNCTION("""COMPUTED_VALUE"""),3)</f>
        <v>3</v>
      </c>
    </row>
    <row r="83" spans="1:19">
      <c r="A83" s="23" t="str">
        <f ca="1">IFERROR(__xludf.DUMMYFUNCTION("""COMPUTED_VALUE"""),"VISITAS A CENTRO DE TRABAJO")</f>
        <v>VISITAS A CENTRO DE TRABAJO</v>
      </c>
      <c r="B83" s="23">
        <f ca="1">IFERROR(__xludf.DUMMYFUNCTION("""COMPUTED_VALUE"""),1)</f>
        <v>1</v>
      </c>
      <c r="C83" s="23"/>
      <c r="D83" s="23" t="str">
        <f ca="1">IFERROR(__xludf.DUMMYFUNCTION("""COMPUTED_VALUE"""),"ASCENDENTE")</f>
        <v>ASCENDENTE</v>
      </c>
      <c r="E83" s="23" t="str">
        <f ca="1">IFERROR(__xludf.DUMMYFUNCTION("""COMPUTED_VALUE"""),"BITACORA OPERATIVA")</f>
        <v>BITACORA OPERATIVA</v>
      </c>
      <c r="F83" s="23">
        <f ca="1">IFERROR(__xludf.DUMMYFUNCTION("""COMPUTED_VALUE"""),0)</f>
        <v>0</v>
      </c>
      <c r="G83" s="23">
        <f ca="1">IFERROR(__xludf.DUMMYFUNCTION("""COMPUTED_VALUE"""),0)</f>
        <v>0</v>
      </c>
      <c r="H83" s="23">
        <f ca="1">IFERROR(__xludf.DUMMYFUNCTION("""COMPUTED_VALUE"""),0)</f>
        <v>0</v>
      </c>
      <c r="I83" s="23">
        <f ca="1">IFERROR(__xludf.DUMMYFUNCTION("""COMPUTED_VALUE"""),0)</f>
        <v>0</v>
      </c>
      <c r="J83" s="23">
        <f ca="1">IFERROR(__xludf.DUMMYFUNCTION("""COMPUTED_VALUE"""),80)</f>
        <v>80</v>
      </c>
      <c r="K83" s="23">
        <f ca="1">IFERROR(__xludf.DUMMYFUNCTION("""COMPUTED_VALUE"""),90)</f>
        <v>90</v>
      </c>
      <c r="L83" s="23">
        <f ca="1">IFERROR(__xludf.DUMMYFUNCTION("""COMPUTED_VALUE"""),80)</f>
        <v>80</v>
      </c>
      <c r="M83" s="23">
        <f ca="1">IFERROR(__xludf.DUMMYFUNCTION("""COMPUTED_VALUE"""),0)</f>
        <v>0</v>
      </c>
      <c r="N83" s="23">
        <f ca="1">IFERROR(__xludf.DUMMYFUNCTION("""COMPUTED_VALUE"""),0)</f>
        <v>0</v>
      </c>
      <c r="O83" s="23">
        <f ca="1">IFERROR(__xludf.DUMMYFUNCTION("""COMPUTED_VALUE"""),0)</f>
        <v>0</v>
      </c>
      <c r="P83" s="23">
        <f ca="1">IFERROR(__xludf.DUMMYFUNCTION("""COMPUTED_VALUE"""),0)</f>
        <v>0</v>
      </c>
      <c r="Q83" s="23">
        <f ca="1">IFERROR(__xludf.DUMMYFUNCTION("""COMPUTED_VALUE"""),0)</f>
        <v>0</v>
      </c>
      <c r="R83" s="23">
        <f ca="1">IFERROR(__xludf.DUMMYFUNCTION("""COMPUTED_VALUE"""),0)</f>
        <v>0</v>
      </c>
      <c r="S83" s="23">
        <f ca="1">IFERROR(__xludf.DUMMYFUNCTION("""COMPUTED_VALUE"""),250)</f>
        <v>250</v>
      </c>
    </row>
    <row r="84" spans="1:19">
      <c r="A84" s="23" t="str">
        <f ca="1">IFERROR(__xludf.DUMMYFUNCTION("""COMPUTED_VALUE"""),"TOTAL DE ATENCIONES EN EMERGENCIAS")</f>
        <v>TOTAL DE ATENCIONES EN EMERGENCIAS</v>
      </c>
      <c r="B84" s="23">
        <f ca="1">IFERROR(__xludf.DUMMYFUNCTION("""COMPUTED_VALUE"""),1)</f>
        <v>1</v>
      </c>
      <c r="C84" s="23"/>
      <c r="D84" s="23" t="str">
        <f ca="1">IFERROR(__xludf.DUMMYFUNCTION("""COMPUTED_VALUE"""),"ASCENDENTE")</f>
        <v>ASCENDENTE</v>
      </c>
      <c r="E84" s="23" t="str">
        <f ca="1">IFERROR(__xludf.DUMMYFUNCTION("""COMPUTED_VALUE"""),"BITACORA OPERATIVA")</f>
        <v>BITACORA OPERATIVA</v>
      </c>
      <c r="F84" s="23">
        <f ca="1">IFERROR(__xludf.DUMMYFUNCTION("""COMPUTED_VALUE"""),0)</f>
        <v>0</v>
      </c>
      <c r="G84" s="23">
        <f ca="1">IFERROR(__xludf.DUMMYFUNCTION("""COMPUTED_VALUE"""),0)</f>
        <v>0</v>
      </c>
      <c r="H84" s="23">
        <f ca="1">IFERROR(__xludf.DUMMYFUNCTION("""COMPUTED_VALUE"""),0)</f>
        <v>0</v>
      </c>
      <c r="I84" s="23">
        <f ca="1">IFERROR(__xludf.DUMMYFUNCTION("""COMPUTED_VALUE"""),0)</f>
        <v>0</v>
      </c>
      <c r="J84" s="23">
        <f ca="1">IFERROR(__xludf.DUMMYFUNCTION("""COMPUTED_VALUE"""),25)</f>
        <v>25</v>
      </c>
      <c r="K84" s="23">
        <f ca="1">IFERROR(__xludf.DUMMYFUNCTION("""COMPUTED_VALUE"""),30)</f>
        <v>30</v>
      </c>
      <c r="L84" s="23">
        <f ca="1">IFERROR(__xludf.DUMMYFUNCTION("""COMPUTED_VALUE"""),20)</f>
        <v>20</v>
      </c>
      <c r="M84" s="23">
        <f ca="1">IFERROR(__xludf.DUMMYFUNCTION("""COMPUTED_VALUE"""),0)</f>
        <v>0</v>
      </c>
      <c r="N84" s="23">
        <f ca="1">IFERROR(__xludf.DUMMYFUNCTION("""COMPUTED_VALUE"""),0)</f>
        <v>0</v>
      </c>
      <c r="O84" s="23">
        <f ca="1">IFERROR(__xludf.DUMMYFUNCTION("""COMPUTED_VALUE"""),0)</f>
        <v>0</v>
      </c>
      <c r="P84" s="23">
        <f ca="1">IFERROR(__xludf.DUMMYFUNCTION("""COMPUTED_VALUE"""),0)</f>
        <v>0</v>
      </c>
      <c r="Q84" s="23">
        <f ca="1">IFERROR(__xludf.DUMMYFUNCTION("""COMPUTED_VALUE"""),0)</f>
        <v>0</v>
      </c>
      <c r="R84" s="23">
        <f ca="1">IFERROR(__xludf.DUMMYFUNCTION("""COMPUTED_VALUE"""),0)</f>
        <v>0</v>
      </c>
      <c r="S84" s="23">
        <f ca="1">IFERROR(__xludf.DUMMYFUNCTION("""COMPUTED_VALUE"""),75)</f>
        <v>75</v>
      </c>
    </row>
    <row r="85" spans="1:19">
      <c r="A85" s="23" t="str">
        <f ca="1">IFERROR(__xludf.DUMMYFUNCTION("""COMPUTED_VALUE"""),"HOSPITALIZACIONES")</f>
        <v>HOSPITALIZACIONES</v>
      </c>
      <c r="B85" s="23">
        <f ca="1">IFERROR(__xludf.DUMMYFUNCTION("""COMPUTED_VALUE"""),1)</f>
        <v>1</v>
      </c>
      <c r="C85" s="23"/>
      <c r="D85" s="23" t="str">
        <f ca="1">IFERROR(__xludf.DUMMYFUNCTION("""COMPUTED_VALUE"""),"ASCENDENTE")</f>
        <v>ASCENDENTE</v>
      </c>
      <c r="E85" s="23" t="str">
        <f ca="1">IFERROR(__xludf.DUMMYFUNCTION("""COMPUTED_VALUE"""),"BITACORA OPERATIVA")</f>
        <v>BITACORA OPERATIVA</v>
      </c>
      <c r="F85" s="23">
        <f ca="1">IFERROR(__xludf.DUMMYFUNCTION("""COMPUTED_VALUE"""),0)</f>
        <v>0</v>
      </c>
      <c r="G85" s="23">
        <f ca="1">IFERROR(__xludf.DUMMYFUNCTION("""COMPUTED_VALUE"""),0)</f>
        <v>0</v>
      </c>
      <c r="H85" s="23">
        <f ca="1">IFERROR(__xludf.DUMMYFUNCTION("""COMPUTED_VALUE"""),0)</f>
        <v>0</v>
      </c>
      <c r="I85" s="23">
        <f ca="1">IFERROR(__xludf.DUMMYFUNCTION("""COMPUTED_VALUE"""),0)</f>
        <v>0</v>
      </c>
      <c r="J85" s="23">
        <f ca="1">IFERROR(__xludf.DUMMYFUNCTION("""COMPUTED_VALUE"""),12)</f>
        <v>12</v>
      </c>
      <c r="K85" s="23">
        <f ca="1">IFERROR(__xludf.DUMMYFUNCTION("""COMPUTED_VALUE"""),15)</f>
        <v>15</v>
      </c>
      <c r="L85" s="23">
        <f ca="1">IFERROR(__xludf.DUMMYFUNCTION("""COMPUTED_VALUE"""),15)</f>
        <v>15</v>
      </c>
      <c r="M85" s="23">
        <f ca="1">IFERROR(__xludf.DUMMYFUNCTION("""COMPUTED_VALUE"""),0)</f>
        <v>0</v>
      </c>
      <c r="N85" s="23">
        <f ca="1">IFERROR(__xludf.DUMMYFUNCTION("""COMPUTED_VALUE"""),0)</f>
        <v>0</v>
      </c>
      <c r="O85" s="23">
        <f ca="1">IFERROR(__xludf.DUMMYFUNCTION("""COMPUTED_VALUE"""),0)</f>
        <v>0</v>
      </c>
      <c r="P85" s="23">
        <f ca="1">IFERROR(__xludf.DUMMYFUNCTION("""COMPUTED_VALUE"""),0)</f>
        <v>0</v>
      </c>
      <c r="Q85" s="23">
        <f ca="1">IFERROR(__xludf.DUMMYFUNCTION("""COMPUTED_VALUE"""),0)</f>
        <v>0</v>
      </c>
      <c r="R85" s="23">
        <f ca="1">IFERROR(__xludf.DUMMYFUNCTION("""COMPUTED_VALUE"""),0)</f>
        <v>0</v>
      </c>
      <c r="S85" s="23">
        <f ca="1">IFERROR(__xludf.DUMMYFUNCTION("""COMPUTED_VALUE"""),42)</f>
        <v>42</v>
      </c>
    </row>
    <row r="86" spans="1:19">
      <c r="A86" s="23" t="str">
        <f ca="1">IFERROR(__xludf.DUMMYFUNCTION("""COMPUTED_VALUE"""),"CURACIONES")</f>
        <v>CURACIONES</v>
      </c>
      <c r="B86" s="23">
        <f ca="1">IFERROR(__xludf.DUMMYFUNCTION("""COMPUTED_VALUE"""),1)</f>
        <v>1</v>
      </c>
      <c r="C86" s="23"/>
      <c r="D86" s="23" t="str">
        <f ca="1">IFERROR(__xludf.DUMMYFUNCTION("""COMPUTED_VALUE"""),"ASCENDENTE")</f>
        <v>ASCENDENTE</v>
      </c>
      <c r="E86" s="23" t="str">
        <f ca="1">IFERROR(__xludf.DUMMYFUNCTION("""COMPUTED_VALUE"""),"BITACORA OPERATIVA")</f>
        <v>BITACORA OPERATIVA</v>
      </c>
      <c r="F86" s="23">
        <f ca="1">IFERROR(__xludf.DUMMYFUNCTION("""COMPUTED_VALUE"""),0)</f>
        <v>0</v>
      </c>
      <c r="G86" s="23">
        <f ca="1">IFERROR(__xludf.DUMMYFUNCTION("""COMPUTED_VALUE"""),0)</f>
        <v>0</v>
      </c>
      <c r="H86" s="23">
        <f ca="1">IFERROR(__xludf.DUMMYFUNCTION("""COMPUTED_VALUE"""),0)</f>
        <v>0</v>
      </c>
      <c r="I86" s="23">
        <f ca="1">IFERROR(__xludf.DUMMYFUNCTION("""COMPUTED_VALUE"""),0)</f>
        <v>0</v>
      </c>
      <c r="J86" s="23">
        <f ca="1">IFERROR(__xludf.DUMMYFUNCTION("""COMPUTED_VALUE"""),6)</f>
        <v>6</v>
      </c>
      <c r="K86" s="23">
        <f ca="1">IFERROR(__xludf.DUMMYFUNCTION("""COMPUTED_VALUE"""),7)</f>
        <v>7</v>
      </c>
      <c r="L86" s="23">
        <f ca="1">IFERROR(__xludf.DUMMYFUNCTION("""COMPUTED_VALUE"""),7)</f>
        <v>7</v>
      </c>
      <c r="M86" s="23">
        <f ca="1">IFERROR(__xludf.DUMMYFUNCTION("""COMPUTED_VALUE"""),0)</f>
        <v>0</v>
      </c>
      <c r="N86" s="23">
        <f ca="1">IFERROR(__xludf.DUMMYFUNCTION("""COMPUTED_VALUE"""),0)</f>
        <v>0</v>
      </c>
      <c r="O86" s="23">
        <f ca="1">IFERROR(__xludf.DUMMYFUNCTION("""COMPUTED_VALUE"""),0)</f>
        <v>0</v>
      </c>
      <c r="P86" s="23">
        <f ca="1">IFERROR(__xludf.DUMMYFUNCTION("""COMPUTED_VALUE"""),0)</f>
        <v>0</v>
      </c>
      <c r="Q86" s="23">
        <f ca="1">IFERROR(__xludf.DUMMYFUNCTION("""COMPUTED_VALUE"""),0)</f>
        <v>0</v>
      </c>
      <c r="R86" s="23">
        <f ca="1">IFERROR(__xludf.DUMMYFUNCTION("""COMPUTED_VALUE"""),0)</f>
        <v>0</v>
      </c>
      <c r="S86" s="23">
        <f ca="1">IFERROR(__xludf.DUMMYFUNCTION("""COMPUTED_VALUE"""),20)</f>
        <v>20</v>
      </c>
    </row>
    <row r="87" spans="1:19">
      <c r="A87" s="23" t="str">
        <f ca="1">IFERROR(__xludf.DUMMYFUNCTION("""COMPUTED_VALUE"""),"SUTURAS")</f>
        <v>SUTURAS</v>
      </c>
      <c r="B87" s="23">
        <f ca="1">IFERROR(__xludf.DUMMYFUNCTION("""COMPUTED_VALUE"""),1)</f>
        <v>1</v>
      </c>
      <c r="C87" s="23"/>
      <c r="D87" s="23" t="str">
        <f ca="1">IFERROR(__xludf.DUMMYFUNCTION("""COMPUTED_VALUE"""),"ASCENDENTE")</f>
        <v>ASCENDENTE</v>
      </c>
      <c r="E87" s="23" t="str">
        <f ca="1">IFERROR(__xludf.DUMMYFUNCTION("""COMPUTED_VALUE"""),"BITACORA OPERATIVA")</f>
        <v>BITACORA OPERATIVA</v>
      </c>
      <c r="F87" s="23">
        <f ca="1">IFERROR(__xludf.DUMMYFUNCTION("""COMPUTED_VALUE"""),0)</f>
        <v>0</v>
      </c>
      <c r="G87" s="23">
        <f ca="1">IFERROR(__xludf.DUMMYFUNCTION("""COMPUTED_VALUE"""),0)</f>
        <v>0</v>
      </c>
      <c r="H87" s="23">
        <f ca="1">IFERROR(__xludf.DUMMYFUNCTION("""COMPUTED_VALUE"""),0)</f>
        <v>0</v>
      </c>
      <c r="I87" s="23">
        <f ca="1">IFERROR(__xludf.DUMMYFUNCTION("""COMPUTED_VALUE"""),0)</f>
        <v>0</v>
      </c>
      <c r="J87" s="23">
        <f ca="1">IFERROR(__xludf.DUMMYFUNCTION("""COMPUTED_VALUE"""),30)</f>
        <v>30</v>
      </c>
      <c r="K87" s="23">
        <f ca="1">IFERROR(__xludf.DUMMYFUNCTION("""COMPUTED_VALUE"""),25)</f>
        <v>25</v>
      </c>
      <c r="L87" s="23">
        <f ca="1">IFERROR(__xludf.DUMMYFUNCTION("""COMPUTED_VALUE"""),30)</f>
        <v>30</v>
      </c>
      <c r="M87" s="23">
        <f ca="1">IFERROR(__xludf.DUMMYFUNCTION("""COMPUTED_VALUE"""),0)</f>
        <v>0</v>
      </c>
      <c r="N87" s="23">
        <f ca="1">IFERROR(__xludf.DUMMYFUNCTION("""COMPUTED_VALUE"""),0)</f>
        <v>0</v>
      </c>
      <c r="O87" s="23">
        <f ca="1">IFERROR(__xludf.DUMMYFUNCTION("""COMPUTED_VALUE"""),0)</f>
        <v>0</v>
      </c>
      <c r="P87" s="23">
        <f ca="1">IFERROR(__xludf.DUMMYFUNCTION("""COMPUTED_VALUE"""),0)</f>
        <v>0</v>
      </c>
      <c r="Q87" s="23">
        <f ca="1">IFERROR(__xludf.DUMMYFUNCTION("""COMPUTED_VALUE"""),0)</f>
        <v>0</v>
      </c>
      <c r="R87" s="23">
        <f ca="1">IFERROR(__xludf.DUMMYFUNCTION("""COMPUTED_VALUE"""),0)</f>
        <v>0</v>
      </c>
      <c r="S87" s="23">
        <f ca="1">IFERROR(__xludf.DUMMYFUNCTION("""COMPUTED_VALUE"""),85)</f>
        <v>85</v>
      </c>
    </row>
    <row r="88" spans="1:19">
      <c r="A88" s="23" t="str">
        <f ca="1">IFERROR(__xludf.DUMMYFUNCTION("""COMPUTED_VALUE"""),"ATENCIÓN DE LESIONES")</f>
        <v>ATENCIÓN DE LESIONES</v>
      </c>
      <c r="B88" s="23">
        <f ca="1">IFERROR(__xludf.DUMMYFUNCTION("""COMPUTED_VALUE"""),1)</f>
        <v>1</v>
      </c>
      <c r="C88" s="23"/>
      <c r="D88" s="23" t="str">
        <f ca="1">IFERROR(__xludf.DUMMYFUNCTION("""COMPUTED_VALUE"""),"ASCENDENTE")</f>
        <v>ASCENDENTE</v>
      </c>
      <c r="E88" s="23" t="str">
        <f ca="1">IFERROR(__xludf.DUMMYFUNCTION("""COMPUTED_VALUE"""),"BITACORA OPERATIVA")</f>
        <v>BITACORA OPERATIVA</v>
      </c>
      <c r="F88" s="23">
        <f ca="1">IFERROR(__xludf.DUMMYFUNCTION("""COMPUTED_VALUE"""),0)</f>
        <v>0</v>
      </c>
      <c r="G88" s="23">
        <f ca="1">IFERROR(__xludf.DUMMYFUNCTION("""COMPUTED_VALUE"""),0)</f>
        <v>0</v>
      </c>
      <c r="H88" s="23">
        <f ca="1">IFERROR(__xludf.DUMMYFUNCTION("""COMPUTED_VALUE"""),0)</f>
        <v>0</v>
      </c>
      <c r="I88" s="23">
        <f ca="1">IFERROR(__xludf.DUMMYFUNCTION("""COMPUTED_VALUE"""),0)</f>
        <v>0</v>
      </c>
      <c r="J88" s="23">
        <f ca="1">IFERROR(__xludf.DUMMYFUNCTION("""COMPUTED_VALUE"""),5)</f>
        <v>5</v>
      </c>
      <c r="K88" s="23">
        <f ca="1">IFERROR(__xludf.DUMMYFUNCTION("""COMPUTED_VALUE"""),7)</f>
        <v>7</v>
      </c>
      <c r="L88" s="23">
        <f ca="1">IFERROR(__xludf.DUMMYFUNCTION("""COMPUTED_VALUE"""),6)</f>
        <v>6</v>
      </c>
      <c r="M88" s="23">
        <f ca="1">IFERROR(__xludf.DUMMYFUNCTION("""COMPUTED_VALUE"""),0)</f>
        <v>0</v>
      </c>
      <c r="N88" s="23">
        <f ca="1">IFERROR(__xludf.DUMMYFUNCTION("""COMPUTED_VALUE"""),0)</f>
        <v>0</v>
      </c>
      <c r="O88" s="23">
        <f ca="1">IFERROR(__xludf.DUMMYFUNCTION("""COMPUTED_VALUE"""),0)</f>
        <v>0</v>
      </c>
      <c r="P88" s="23">
        <f ca="1">IFERROR(__xludf.DUMMYFUNCTION("""COMPUTED_VALUE"""),0)</f>
        <v>0</v>
      </c>
      <c r="Q88" s="23">
        <f ca="1">IFERROR(__xludf.DUMMYFUNCTION("""COMPUTED_VALUE"""),0)</f>
        <v>0</v>
      </c>
      <c r="R88" s="23">
        <f ca="1">IFERROR(__xludf.DUMMYFUNCTION("""COMPUTED_VALUE"""),0)</f>
        <v>0</v>
      </c>
      <c r="S88" s="23">
        <f ca="1">IFERROR(__xludf.DUMMYFUNCTION("""COMPUTED_VALUE"""),18)</f>
        <v>18</v>
      </c>
    </row>
    <row r="89" spans="1:19">
      <c r="A89" s="23" t="str">
        <f ca="1">IFERROR(__xludf.DUMMYFUNCTION("""COMPUTED_VALUE"""),"RETIRO DE PUNTOS DE SUTURA")</f>
        <v>RETIRO DE PUNTOS DE SUTURA</v>
      </c>
      <c r="B89" s="23">
        <f ca="1">IFERROR(__xludf.DUMMYFUNCTION("""COMPUTED_VALUE"""),1)</f>
        <v>1</v>
      </c>
      <c r="C89" s="23"/>
      <c r="D89" s="23" t="str">
        <f ca="1">IFERROR(__xludf.DUMMYFUNCTION("""COMPUTED_VALUE"""),"ASCENDENTE")</f>
        <v>ASCENDENTE</v>
      </c>
      <c r="E89" s="23" t="str">
        <f ca="1">IFERROR(__xludf.DUMMYFUNCTION("""COMPUTED_VALUE"""),"BITACORA OPERATIVA")</f>
        <v>BITACORA OPERATIVA</v>
      </c>
      <c r="F89" s="23">
        <f ca="1">IFERROR(__xludf.DUMMYFUNCTION("""COMPUTED_VALUE"""),0)</f>
        <v>0</v>
      </c>
      <c r="G89" s="23">
        <f ca="1">IFERROR(__xludf.DUMMYFUNCTION("""COMPUTED_VALUE"""),0)</f>
        <v>0</v>
      </c>
      <c r="H89" s="23">
        <f ca="1">IFERROR(__xludf.DUMMYFUNCTION("""COMPUTED_VALUE"""),0)</f>
        <v>0</v>
      </c>
      <c r="I89" s="23">
        <f ca="1">IFERROR(__xludf.DUMMYFUNCTION("""COMPUTED_VALUE"""),0)</f>
        <v>0</v>
      </c>
      <c r="J89" s="23">
        <f ca="1">IFERROR(__xludf.DUMMYFUNCTION("""COMPUTED_VALUE"""),30)</f>
        <v>30</v>
      </c>
      <c r="K89" s="23">
        <f ca="1">IFERROR(__xludf.DUMMYFUNCTION("""COMPUTED_VALUE"""),30)</f>
        <v>30</v>
      </c>
      <c r="L89" s="23">
        <f ca="1">IFERROR(__xludf.DUMMYFUNCTION("""COMPUTED_VALUE"""),35)</f>
        <v>35</v>
      </c>
      <c r="M89" s="23">
        <f ca="1">IFERROR(__xludf.DUMMYFUNCTION("""COMPUTED_VALUE"""),0)</f>
        <v>0</v>
      </c>
      <c r="N89" s="23">
        <f ca="1">IFERROR(__xludf.DUMMYFUNCTION("""COMPUTED_VALUE"""),0)</f>
        <v>0</v>
      </c>
      <c r="O89" s="23">
        <f ca="1">IFERROR(__xludf.DUMMYFUNCTION("""COMPUTED_VALUE"""),0)</f>
        <v>0</v>
      </c>
      <c r="P89" s="23">
        <f ca="1">IFERROR(__xludf.DUMMYFUNCTION("""COMPUTED_VALUE"""),0)</f>
        <v>0</v>
      </c>
      <c r="Q89" s="23">
        <f ca="1">IFERROR(__xludf.DUMMYFUNCTION("""COMPUTED_VALUE"""),0)</f>
        <v>0</v>
      </c>
      <c r="R89" s="23">
        <f ca="1">IFERROR(__xludf.DUMMYFUNCTION("""COMPUTED_VALUE"""),0)</f>
        <v>0</v>
      </c>
      <c r="S89" s="23">
        <f ca="1">IFERROR(__xludf.DUMMYFUNCTION("""COMPUTED_VALUE"""),95)</f>
        <v>95</v>
      </c>
    </row>
    <row r="90" spans="1:19">
      <c r="A90" s="23" t="str">
        <f ca="1">IFERROR(__xludf.DUMMYFUNCTION("""COMPUTED_VALUE"""),"APLICACIÓN DE MEDICAMENTOS")</f>
        <v>APLICACIÓN DE MEDICAMENTOS</v>
      </c>
      <c r="B90" s="23">
        <f ca="1">IFERROR(__xludf.DUMMYFUNCTION("""COMPUTED_VALUE"""),1)</f>
        <v>1</v>
      </c>
      <c r="C90" s="23"/>
      <c r="D90" s="23" t="str">
        <f ca="1">IFERROR(__xludf.DUMMYFUNCTION("""COMPUTED_VALUE"""),"ASCENDENTE")</f>
        <v>ASCENDENTE</v>
      </c>
      <c r="E90" s="23" t="str">
        <f ca="1">IFERROR(__xludf.DUMMYFUNCTION("""COMPUTED_VALUE"""),"BITACORA OPERATIVA")</f>
        <v>BITACORA OPERATIVA</v>
      </c>
      <c r="F90" s="23">
        <f ca="1">IFERROR(__xludf.DUMMYFUNCTION("""COMPUTED_VALUE"""),0)</f>
        <v>0</v>
      </c>
      <c r="G90" s="23">
        <f ca="1">IFERROR(__xludf.DUMMYFUNCTION("""COMPUTED_VALUE"""),0)</f>
        <v>0</v>
      </c>
      <c r="H90" s="23">
        <f ca="1">IFERROR(__xludf.DUMMYFUNCTION("""COMPUTED_VALUE"""),0)</f>
        <v>0</v>
      </c>
      <c r="I90" s="23">
        <f ca="1">IFERROR(__xludf.DUMMYFUNCTION("""COMPUTED_VALUE"""),0)</f>
        <v>0</v>
      </c>
      <c r="J90" s="23">
        <f ca="1">IFERROR(__xludf.DUMMYFUNCTION("""COMPUTED_VALUE"""),7)</f>
        <v>7</v>
      </c>
      <c r="K90" s="23">
        <f ca="1">IFERROR(__xludf.DUMMYFUNCTION("""COMPUTED_VALUE"""),10)</f>
        <v>10</v>
      </c>
      <c r="L90" s="23">
        <f ca="1">IFERROR(__xludf.DUMMYFUNCTION("""COMPUTED_VALUE"""),14)</f>
        <v>14</v>
      </c>
      <c r="M90" s="23">
        <f ca="1">IFERROR(__xludf.DUMMYFUNCTION("""COMPUTED_VALUE"""),0)</f>
        <v>0</v>
      </c>
      <c r="N90" s="23">
        <f ca="1">IFERROR(__xludf.DUMMYFUNCTION("""COMPUTED_VALUE"""),0)</f>
        <v>0</v>
      </c>
      <c r="O90" s="23">
        <f ca="1">IFERROR(__xludf.DUMMYFUNCTION("""COMPUTED_VALUE"""),0)</f>
        <v>0</v>
      </c>
      <c r="P90" s="23">
        <f ca="1">IFERROR(__xludf.DUMMYFUNCTION("""COMPUTED_VALUE"""),0)</f>
        <v>0</v>
      </c>
      <c r="Q90" s="23">
        <f ca="1">IFERROR(__xludf.DUMMYFUNCTION("""COMPUTED_VALUE"""),0)</f>
        <v>0</v>
      </c>
      <c r="R90" s="23">
        <f ca="1">IFERROR(__xludf.DUMMYFUNCTION("""COMPUTED_VALUE"""),0)</f>
        <v>0</v>
      </c>
      <c r="S90" s="23">
        <f ca="1">IFERROR(__xludf.DUMMYFUNCTION("""COMPUTED_VALUE"""),31)</f>
        <v>31</v>
      </c>
    </row>
    <row r="91" spans="1:19">
      <c r="A91" s="23" t="str">
        <f ca="1">IFERROR(__xludf.DUMMYFUNCTION("""COMPUTED_VALUE"""),"APLICACIÓN DE VENDAJE")</f>
        <v>APLICACIÓN DE VENDAJE</v>
      </c>
      <c r="B91" s="23">
        <f ca="1">IFERROR(__xludf.DUMMYFUNCTION("""COMPUTED_VALUE"""),1)</f>
        <v>1</v>
      </c>
      <c r="C91" s="23"/>
      <c r="D91" s="23" t="str">
        <f ca="1">IFERROR(__xludf.DUMMYFUNCTION("""COMPUTED_VALUE"""),"ASCENDENTE")</f>
        <v>ASCENDENTE</v>
      </c>
      <c r="E91" s="23" t="str">
        <f ca="1">IFERROR(__xludf.DUMMYFUNCTION("""COMPUTED_VALUE"""),"BITACORA OPERATIVA")</f>
        <v>BITACORA OPERATIVA</v>
      </c>
      <c r="F91" s="23">
        <f ca="1">IFERROR(__xludf.DUMMYFUNCTION("""COMPUTED_VALUE"""),0)</f>
        <v>0</v>
      </c>
      <c r="G91" s="23">
        <f ca="1">IFERROR(__xludf.DUMMYFUNCTION("""COMPUTED_VALUE"""),0)</f>
        <v>0</v>
      </c>
      <c r="H91" s="23">
        <f ca="1">IFERROR(__xludf.DUMMYFUNCTION("""COMPUTED_VALUE"""),0)</f>
        <v>0</v>
      </c>
      <c r="I91" s="23">
        <f ca="1">IFERROR(__xludf.DUMMYFUNCTION("""COMPUTED_VALUE"""),0)</f>
        <v>0</v>
      </c>
      <c r="J91" s="23">
        <f ca="1">IFERROR(__xludf.DUMMYFUNCTION("""COMPUTED_VALUE"""),2)</f>
        <v>2</v>
      </c>
      <c r="K91" s="23">
        <f ca="1">IFERROR(__xludf.DUMMYFUNCTION("""COMPUTED_VALUE"""),1)</f>
        <v>1</v>
      </c>
      <c r="L91" s="23">
        <f ca="1">IFERROR(__xludf.DUMMYFUNCTION("""COMPUTED_VALUE"""),1)</f>
        <v>1</v>
      </c>
      <c r="M91" s="23">
        <f ca="1">IFERROR(__xludf.DUMMYFUNCTION("""COMPUTED_VALUE"""),0)</f>
        <v>0</v>
      </c>
      <c r="N91" s="23">
        <f ca="1">IFERROR(__xludf.DUMMYFUNCTION("""COMPUTED_VALUE"""),0)</f>
        <v>0</v>
      </c>
      <c r="O91" s="23">
        <f ca="1">IFERROR(__xludf.DUMMYFUNCTION("""COMPUTED_VALUE"""),0)</f>
        <v>0</v>
      </c>
      <c r="P91" s="23">
        <f ca="1">IFERROR(__xludf.DUMMYFUNCTION("""COMPUTED_VALUE"""),0)</f>
        <v>0</v>
      </c>
      <c r="Q91" s="23">
        <f ca="1">IFERROR(__xludf.DUMMYFUNCTION("""COMPUTED_VALUE"""),0)</f>
        <v>0</v>
      </c>
      <c r="R91" s="23">
        <f ca="1">IFERROR(__xludf.DUMMYFUNCTION("""COMPUTED_VALUE"""),0)</f>
        <v>0</v>
      </c>
      <c r="S91" s="23">
        <f ca="1">IFERROR(__xludf.DUMMYFUNCTION("""COMPUTED_VALUE"""),4)</f>
        <v>4</v>
      </c>
    </row>
    <row r="92" spans="1:19">
      <c r="A92" s="23" t="str">
        <f ca="1">IFERROR(__xludf.DUMMYFUNCTION("""COMPUTED_VALUE"""),"APLICACIÓN DE YESO")</f>
        <v>APLICACIÓN DE YESO</v>
      </c>
      <c r="B92" s="23">
        <f ca="1">IFERROR(__xludf.DUMMYFUNCTION("""COMPUTED_VALUE"""),1)</f>
        <v>1</v>
      </c>
      <c r="C92" s="23"/>
      <c r="D92" s="23" t="str">
        <f ca="1">IFERROR(__xludf.DUMMYFUNCTION("""COMPUTED_VALUE"""),"ASCENDENTE")</f>
        <v>ASCENDENTE</v>
      </c>
      <c r="E92" s="23" t="str">
        <f ca="1">IFERROR(__xludf.DUMMYFUNCTION("""COMPUTED_VALUE"""),"BITACORA OPERATIVA")</f>
        <v>BITACORA OPERATIVA</v>
      </c>
      <c r="F92" s="23">
        <f ca="1">IFERROR(__xludf.DUMMYFUNCTION("""COMPUTED_VALUE"""),0)</f>
        <v>0</v>
      </c>
      <c r="G92" s="23">
        <f ca="1">IFERROR(__xludf.DUMMYFUNCTION("""COMPUTED_VALUE"""),0)</f>
        <v>0</v>
      </c>
      <c r="H92" s="23">
        <f ca="1">IFERROR(__xludf.DUMMYFUNCTION("""COMPUTED_VALUE"""),0)</f>
        <v>0</v>
      </c>
      <c r="I92" s="23">
        <f ca="1">IFERROR(__xludf.DUMMYFUNCTION("""COMPUTED_VALUE"""),0)</f>
        <v>0</v>
      </c>
      <c r="J92" s="23">
        <f ca="1">IFERROR(__xludf.DUMMYFUNCTION("""COMPUTED_VALUE"""),7)</f>
        <v>7</v>
      </c>
      <c r="K92" s="23">
        <f ca="1">IFERROR(__xludf.DUMMYFUNCTION("""COMPUTED_VALUE"""),10)</f>
        <v>10</v>
      </c>
      <c r="L92" s="23">
        <f ca="1">IFERROR(__xludf.DUMMYFUNCTION("""COMPUTED_VALUE"""),9)</f>
        <v>9</v>
      </c>
      <c r="M92" s="23">
        <f ca="1">IFERROR(__xludf.DUMMYFUNCTION("""COMPUTED_VALUE"""),0)</f>
        <v>0</v>
      </c>
      <c r="N92" s="23">
        <f ca="1">IFERROR(__xludf.DUMMYFUNCTION("""COMPUTED_VALUE"""),0)</f>
        <v>0</v>
      </c>
      <c r="O92" s="23">
        <f ca="1">IFERROR(__xludf.DUMMYFUNCTION("""COMPUTED_VALUE"""),0)</f>
        <v>0</v>
      </c>
      <c r="P92" s="23">
        <f ca="1">IFERROR(__xludf.DUMMYFUNCTION("""COMPUTED_VALUE"""),0)</f>
        <v>0</v>
      </c>
      <c r="Q92" s="23">
        <f ca="1">IFERROR(__xludf.DUMMYFUNCTION("""COMPUTED_VALUE"""),0)</f>
        <v>0</v>
      </c>
      <c r="R92" s="23">
        <f ca="1">IFERROR(__xludf.DUMMYFUNCTION("""COMPUTED_VALUE"""),0)</f>
        <v>0</v>
      </c>
      <c r="S92" s="23">
        <f ca="1">IFERROR(__xludf.DUMMYFUNCTION("""COMPUTED_VALUE"""),26)</f>
        <v>26</v>
      </c>
    </row>
    <row r="93" spans="1:19">
      <c r="A93" s="23" t="str">
        <f ca="1">IFERROR(__xludf.DUMMYFUNCTION("""COMPUTED_VALUE"""),"TERAPIA DE REHIDRATACIÓN")</f>
        <v>TERAPIA DE REHIDRATACIÓN</v>
      </c>
      <c r="B93" s="23">
        <f ca="1">IFERROR(__xludf.DUMMYFUNCTION("""COMPUTED_VALUE"""),1)</f>
        <v>1</v>
      </c>
      <c r="C93" s="23"/>
      <c r="D93" s="23" t="str">
        <f ca="1">IFERROR(__xludf.DUMMYFUNCTION("""COMPUTED_VALUE"""),"ASCENDENTE")</f>
        <v>ASCENDENTE</v>
      </c>
      <c r="E93" s="23" t="str">
        <f ca="1">IFERROR(__xludf.DUMMYFUNCTION("""COMPUTED_VALUE"""),"BITACORA OPERATIVA")</f>
        <v>BITACORA OPERATIVA</v>
      </c>
      <c r="F93" s="23">
        <f ca="1">IFERROR(__xludf.DUMMYFUNCTION("""COMPUTED_VALUE"""),0)</f>
        <v>0</v>
      </c>
      <c r="G93" s="23">
        <f ca="1">IFERROR(__xludf.DUMMYFUNCTION("""COMPUTED_VALUE"""),0)</f>
        <v>0</v>
      </c>
      <c r="H93" s="23">
        <f ca="1">IFERROR(__xludf.DUMMYFUNCTION("""COMPUTED_VALUE"""),0)</f>
        <v>0</v>
      </c>
      <c r="I93" s="23">
        <f ca="1">IFERROR(__xludf.DUMMYFUNCTION("""COMPUTED_VALUE"""),0)</f>
        <v>0</v>
      </c>
      <c r="J93" s="23">
        <f ca="1">IFERROR(__xludf.DUMMYFUNCTION("""COMPUTED_VALUE"""),7)</f>
        <v>7</v>
      </c>
      <c r="K93" s="23">
        <f ca="1">IFERROR(__xludf.DUMMYFUNCTION("""COMPUTED_VALUE"""),10)</f>
        <v>10</v>
      </c>
      <c r="L93" s="23">
        <f ca="1">IFERROR(__xludf.DUMMYFUNCTION("""COMPUTED_VALUE"""),9)</f>
        <v>9</v>
      </c>
      <c r="M93" s="23">
        <f ca="1">IFERROR(__xludf.DUMMYFUNCTION("""COMPUTED_VALUE"""),0)</f>
        <v>0</v>
      </c>
      <c r="N93" s="23">
        <f ca="1">IFERROR(__xludf.DUMMYFUNCTION("""COMPUTED_VALUE"""),0)</f>
        <v>0</v>
      </c>
      <c r="O93" s="23">
        <f ca="1">IFERROR(__xludf.DUMMYFUNCTION("""COMPUTED_VALUE"""),0)</f>
        <v>0</v>
      </c>
      <c r="P93" s="23">
        <f ca="1">IFERROR(__xludf.DUMMYFUNCTION("""COMPUTED_VALUE"""),0)</f>
        <v>0</v>
      </c>
      <c r="Q93" s="23">
        <f ca="1">IFERROR(__xludf.DUMMYFUNCTION("""COMPUTED_VALUE"""),0)</f>
        <v>0</v>
      </c>
      <c r="R93" s="23">
        <f ca="1">IFERROR(__xludf.DUMMYFUNCTION("""COMPUTED_VALUE"""),0)</f>
        <v>0</v>
      </c>
      <c r="S93" s="23">
        <f ca="1">IFERROR(__xludf.DUMMYFUNCTION("""COMPUTED_VALUE"""),26)</f>
        <v>26</v>
      </c>
    </row>
    <row r="94" spans="1:19">
      <c r="A94" s="23" t="str">
        <f ca="1">IFERROR(__xludf.DUMMYFUNCTION("""COMPUTED_VALUE"""),"ATENCIONES POR INHALOTERAPIA")</f>
        <v>ATENCIONES POR INHALOTERAPIA</v>
      </c>
      <c r="B94" s="23">
        <f ca="1">IFERROR(__xludf.DUMMYFUNCTION("""COMPUTED_VALUE"""),1)</f>
        <v>1</v>
      </c>
      <c r="C94" s="23"/>
      <c r="D94" s="23" t="str">
        <f ca="1">IFERROR(__xludf.DUMMYFUNCTION("""COMPUTED_VALUE"""),"ASCENDENTE")</f>
        <v>ASCENDENTE</v>
      </c>
      <c r="E94" s="23" t="str">
        <f ca="1">IFERROR(__xludf.DUMMYFUNCTION("""COMPUTED_VALUE"""),"BITACORA OPERATIVA")</f>
        <v>BITACORA OPERATIVA</v>
      </c>
      <c r="F94" s="23">
        <f ca="1">IFERROR(__xludf.DUMMYFUNCTION("""COMPUTED_VALUE"""),0)</f>
        <v>0</v>
      </c>
      <c r="G94" s="23">
        <f ca="1">IFERROR(__xludf.DUMMYFUNCTION("""COMPUTED_VALUE"""),0)</f>
        <v>0</v>
      </c>
      <c r="H94" s="23">
        <f ca="1">IFERROR(__xludf.DUMMYFUNCTION("""COMPUTED_VALUE"""),0)</f>
        <v>0</v>
      </c>
      <c r="I94" s="23">
        <f ca="1">IFERROR(__xludf.DUMMYFUNCTION("""COMPUTED_VALUE"""),0)</f>
        <v>0</v>
      </c>
      <c r="J94" s="23">
        <f ca="1">IFERROR(__xludf.DUMMYFUNCTION("""COMPUTED_VALUE"""),30)</f>
        <v>30</v>
      </c>
      <c r="K94" s="23">
        <f ca="1">IFERROR(__xludf.DUMMYFUNCTION("""COMPUTED_VALUE"""),30)</f>
        <v>30</v>
      </c>
      <c r="L94" s="23">
        <f ca="1">IFERROR(__xludf.DUMMYFUNCTION("""COMPUTED_VALUE"""),25)</f>
        <v>25</v>
      </c>
      <c r="M94" s="23">
        <f ca="1">IFERROR(__xludf.DUMMYFUNCTION("""COMPUTED_VALUE"""),0)</f>
        <v>0</v>
      </c>
      <c r="N94" s="23">
        <f ca="1">IFERROR(__xludf.DUMMYFUNCTION("""COMPUTED_VALUE"""),0)</f>
        <v>0</v>
      </c>
      <c r="O94" s="23">
        <f ca="1">IFERROR(__xludf.DUMMYFUNCTION("""COMPUTED_VALUE"""),0)</f>
        <v>0</v>
      </c>
      <c r="P94" s="23">
        <f ca="1">IFERROR(__xludf.DUMMYFUNCTION("""COMPUTED_VALUE"""),0)</f>
        <v>0</v>
      </c>
      <c r="Q94" s="23">
        <f ca="1">IFERROR(__xludf.DUMMYFUNCTION("""COMPUTED_VALUE"""),0)</f>
        <v>0</v>
      </c>
      <c r="R94" s="23">
        <f ca="1">IFERROR(__xludf.DUMMYFUNCTION("""COMPUTED_VALUE"""),0)</f>
        <v>0</v>
      </c>
      <c r="S94" s="23">
        <f ca="1">IFERROR(__xludf.DUMMYFUNCTION("""COMPUTED_VALUE"""),85)</f>
        <v>85</v>
      </c>
    </row>
    <row r="95" spans="1:19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</row>
    <row r="96" spans="1:19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</row>
    <row r="97" spans="1:19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</row>
    <row r="98" spans="1:19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</row>
    <row r="99" spans="1:19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</row>
    <row r="100" spans="1:19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</row>
    <row r="101" spans="1:19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</row>
    <row r="102" spans="1:19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</row>
    <row r="103" spans="1:19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</row>
    <row r="104" spans="1:19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</row>
    <row r="105" spans="1:19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</row>
    <row r="106" spans="1:19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</row>
    <row r="107" spans="1:19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</row>
    <row r="108" spans="1:19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</row>
    <row r="109" spans="1:19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</row>
    <row r="110" spans="1:19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</row>
    <row r="111" spans="1:19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</row>
    <row r="112" spans="1:19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</row>
    <row r="113" spans="1:19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</row>
    <row r="114" spans="1:19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</row>
    <row r="115" spans="1:19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</row>
    <row r="116" spans="1:19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</row>
    <row r="117" spans="1:19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</row>
    <row r="118" spans="1:19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</row>
    <row r="119" spans="1:19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</row>
    <row r="120" spans="1:19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</row>
    <row r="121" spans="1:19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</row>
    <row r="122" spans="1:19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</row>
    <row r="123" spans="1:19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</row>
    <row r="124" spans="1:19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</row>
    <row r="125" spans="1:19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</row>
    <row r="126" spans="1:19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</row>
    <row r="127" spans="1:19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</row>
    <row r="128" spans="1:19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</row>
    <row r="129" spans="1:19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</row>
    <row r="130" spans="1:19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</row>
    <row r="131" spans="1:19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</row>
    <row r="132" spans="1:19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</row>
    <row r="133" spans="1:19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</row>
    <row r="134" spans="1:19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</row>
    <row r="135" spans="1:19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</row>
    <row r="136" spans="1:19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</row>
    <row r="137" spans="1:19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</row>
    <row r="138" spans="1:19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</row>
    <row r="139" spans="1:19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</row>
    <row r="140" spans="1:19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</row>
    <row r="141" spans="1:19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</row>
    <row r="142" spans="1:19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</row>
    <row r="143" spans="1:19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</row>
    <row r="144" spans="1:19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</row>
    <row r="145" spans="1:19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</row>
    <row r="146" spans="1:19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</row>
    <row r="147" spans="1:19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</row>
    <row r="148" spans="1:19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</row>
    <row r="149" spans="1:19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</row>
    <row r="150" spans="1:19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</row>
    <row r="151" spans="1:19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</row>
    <row r="152" spans="1:19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</row>
    <row r="153" spans="1:19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</row>
    <row r="154" spans="1:19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</row>
    <row r="155" spans="1:19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</row>
    <row r="156" spans="1:19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</row>
    <row r="157" spans="1:19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</row>
    <row r="158" spans="1:19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</row>
    <row r="159" spans="1:19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</row>
    <row r="160" spans="1:19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</row>
    <row r="161" spans="1:19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</row>
    <row r="162" spans="1:19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</row>
    <row r="163" spans="1:19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</row>
    <row r="164" spans="1:19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</row>
    <row r="165" spans="1:19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</row>
    <row r="166" spans="1:19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</row>
    <row r="167" spans="1:19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</row>
    <row r="168" spans="1:19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</row>
    <row r="169" spans="1:19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</row>
    <row r="170" spans="1:19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</row>
    <row r="171" spans="1:19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</row>
    <row r="172" spans="1:19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</row>
    <row r="173" spans="1:19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</row>
    <row r="174" spans="1:19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</row>
    <row r="175" spans="1:19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</row>
    <row r="176" spans="1:19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</row>
    <row r="177" spans="1:19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</row>
    <row r="178" spans="1:19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</row>
    <row r="179" spans="1:19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</row>
    <row r="180" spans="1:19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</row>
    <row r="181" spans="1:19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</row>
    <row r="182" spans="1:19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</row>
    <row r="183" spans="1:19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</row>
    <row r="184" spans="1:19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</row>
    <row r="185" spans="1:19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</row>
    <row r="186" spans="1:19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</row>
    <row r="187" spans="1:19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</row>
    <row r="188" spans="1:19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</row>
    <row r="189" spans="1:19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</row>
    <row r="190" spans="1:19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</row>
    <row r="191" spans="1:19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</row>
    <row r="192" spans="1:19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</row>
    <row r="193" spans="1:19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</row>
    <row r="194" spans="1:19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</row>
    <row r="195" spans="1:19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</row>
    <row r="196" spans="1:19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</row>
    <row r="197" spans="1:19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</row>
    <row r="198" spans="1:19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</row>
    <row r="199" spans="1:19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</row>
    <row r="200" spans="1:19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</row>
    <row r="201" spans="1:19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</row>
    <row r="202" spans="1:19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</row>
    <row r="203" spans="1:19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</row>
    <row r="204" spans="1:19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</row>
    <row r="205" spans="1:19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</row>
    <row r="206" spans="1:19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</row>
    <row r="207" spans="1:19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</row>
    <row r="208" spans="1:19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</row>
    <row r="209" spans="1:19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</row>
    <row r="210" spans="1:19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</row>
    <row r="211" spans="1:19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</row>
    <row r="212" spans="1:19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</row>
    <row r="213" spans="1:19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</row>
    <row r="214" spans="1:19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</row>
    <row r="215" spans="1:19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</row>
    <row r="216" spans="1:19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</row>
    <row r="217" spans="1:19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</row>
    <row r="218" spans="1:19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</row>
    <row r="219" spans="1:19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</row>
    <row r="220" spans="1:19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</row>
    <row r="221" spans="1:19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</row>
    <row r="222" spans="1:19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</row>
    <row r="223" spans="1:19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</row>
    <row r="224" spans="1:19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</row>
    <row r="225" spans="1:19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</row>
    <row r="226" spans="1:19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</row>
    <row r="227" spans="1:19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</row>
    <row r="228" spans="1:19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</row>
    <row r="229" spans="1:19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</row>
    <row r="230" spans="1:19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</row>
    <row r="231" spans="1:19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</row>
    <row r="232" spans="1:19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</row>
    <row r="233" spans="1:19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</row>
    <row r="234" spans="1:19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</row>
    <row r="235" spans="1:19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</row>
    <row r="236" spans="1:19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</row>
    <row r="237" spans="1:19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</row>
    <row r="238" spans="1:19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</row>
    <row r="239" spans="1:19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</row>
    <row r="240" spans="1:19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</row>
    <row r="241" spans="1:19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</row>
    <row r="242" spans="1:19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</row>
    <row r="243" spans="1:19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</row>
    <row r="244" spans="1:19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</row>
    <row r="245" spans="1:19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</row>
    <row r="246" spans="1:19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</row>
    <row r="247" spans="1:19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</row>
    <row r="248" spans="1:19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</row>
    <row r="249" spans="1:19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</row>
    <row r="250" spans="1:19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</row>
    <row r="251" spans="1:19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</row>
    <row r="252" spans="1:19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</row>
    <row r="253" spans="1:19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</row>
    <row r="254" spans="1:19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</row>
    <row r="255" spans="1:19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</row>
    <row r="256" spans="1:19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</row>
    <row r="257" spans="1:19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</row>
    <row r="258" spans="1:19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</row>
    <row r="259" spans="1:19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</row>
    <row r="260" spans="1:19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</row>
    <row r="261" spans="1:19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</row>
    <row r="262" spans="1:19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</row>
    <row r="263" spans="1:19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</row>
    <row r="264" spans="1:19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</row>
    <row r="265" spans="1:19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</row>
    <row r="266" spans="1:19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</row>
    <row r="267" spans="1:19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</row>
    <row r="268" spans="1:19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</row>
    <row r="269" spans="1:19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</row>
    <row r="270" spans="1:19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</row>
    <row r="271" spans="1:19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</row>
    <row r="272" spans="1:19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</row>
    <row r="273" spans="1:19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</row>
    <row r="274" spans="1:19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</row>
    <row r="275" spans="1:19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</row>
    <row r="276" spans="1:19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</row>
    <row r="277" spans="1:19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</row>
    <row r="278" spans="1:19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</row>
    <row r="279" spans="1:19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</row>
    <row r="280" spans="1:19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</row>
    <row r="281" spans="1:19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</row>
    <row r="282" spans="1:19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</row>
    <row r="283" spans="1:19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</row>
    <row r="284" spans="1:19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</row>
    <row r="285" spans="1:19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</row>
    <row r="286" spans="1:19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</row>
    <row r="287" spans="1:19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</row>
    <row r="288" spans="1:19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</row>
    <row r="289" spans="1:19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</row>
    <row r="290" spans="1:19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</row>
    <row r="291" spans="1:19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</row>
    <row r="292" spans="1:19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</row>
    <row r="293" spans="1:19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</row>
    <row r="294" spans="1:19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</row>
    <row r="295" spans="1:19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</row>
    <row r="296" spans="1:19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</row>
    <row r="297" spans="1:19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</row>
    <row r="298" spans="1:19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</row>
    <row r="299" spans="1:19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</row>
    <row r="300" spans="1:19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</row>
    <row r="301" spans="1:19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</row>
    <row r="302" spans="1:19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</row>
    <row r="303" spans="1:19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</row>
    <row r="304" spans="1:19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</row>
    <row r="305" spans="1:19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</row>
    <row r="306" spans="1:19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</row>
    <row r="307" spans="1:19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</row>
    <row r="308" spans="1:19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</row>
    <row r="309" spans="1:19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</row>
    <row r="310" spans="1:19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</row>
    <row r="311" spans="1:19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</row>
    <row r="312" spans="1:19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</row>
    <row r="313" spans="1:19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</row>
    <row r="314" spans="1:19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</row>
    <row r="315" spans="1:19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</row>
    <row r="316" spans="1:19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</row>
    <row r="317" spans="1:19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</row>
    <row r="318" spans="1:19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</row>
    <row r="319" spans="1:19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</row>
    <row r="320" spans="1:19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</row>
    <row r="321" spans="1:19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</row>
    <row r="322" spans="1:19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</row>
    <row r="323" spans="1:19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</row>
    <row r="324" spans="1:19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</row>
    <row r="325" spans="1:19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</row>
    <row r="326" spans="1:19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</row>
    <row r="327" spans="1:19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</row>
    <row r="328" spans="1:19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</row>
    <row r="329" spans="1:19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</row>
    <row r="330" spans="1:19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</row>
    <row r="331" spans="1:19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</row>
    <row r="332" spans="1:19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</row>
    <row r="333" spans="1:19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</row>
    <row r="334" spans="1:19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</row>
    <row r="335" spans="1:19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</row>
    <row r="336" spans="1:19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</row>
    <row r="337" spans="1:19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</row>
    <row r="338" spans="1:19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</row>
    <row r="339" spans="1:19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</row>
    <row r="340" spans="1:19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</row>
    <row r="341" spans="1:19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</row>
    <row r="342" spans="1:19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</row>
    <row r="343" spans="1:19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</row>
    <row r="344" spans="1:19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</row>
    <row r="345" spans="1:19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</row>
    <row r="346" spans="1:19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</row>
    <row r="347" spans="1:19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</row>
    <row r="348" spans="1:19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</row>
    <row r="349" spans="1:19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</row>
    <row r="350" spans="1:19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</row>
    <row r="351" spans="1:19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</row>
    <row r="352" spans="1:19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</row>
    <row r="353" spans="1:19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</row>
    <row r="354" spans="1:19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</row>
    <row r="355" spans="1:19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</row>
    <row r="356" spans="1:19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</row>
    <row r="357" spans="1:19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</row>
    <row r="358" spans="1:19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</row>
    <row r="359" spans="1:19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</row>
    <row r="360" spans="1:19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</row>
    <row r="361" spans="1:19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</row>
    <row r="362" spans="1:19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</row>
    <row r="363" spans="1:19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</row>
    <row r="364" spans="1:19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</row>
    <row r="365" spans="1:19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</row>
    <row r="366" spans="1:19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</row>
    <row r="367" spans="1:19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</row>
    <row r="368" spans="1:19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</row>
    <row r="369" spans="1:19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</row>
    <row r="370" spans="1:19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</row>
    <row r="371" spans="1:19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</row>
    <row r="372" spans="1:19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</row>
    <row r="373" spans="1:19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</row>
    <row r="374" spans="1:19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</row>
    <row r="375" spans="1:19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</row>
    <row r="376" spans="1:19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</row>
    <row r="377" spans="1:19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</row>
    <row r="378" spans="1:19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</row>
    <row r="379" spans="1:19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</row>
    <row r="380" spans="1:19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</row>
    <row r="381" spans="1:19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</row>
    <row r="382" spans="1:19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</row>
    <row r="383" spans="1:19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</row>
    <row r="384" spans="1:19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</row>
    <row r="385" spans="1:19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</row>
    <row r="386" spans="1:19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</row>
    <row r="387" spans="1:19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</row>
    <row r="388" spans="1:19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</row>
    <row r="389" spans="1:19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</row>
    <row r="390" spans="1:19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</row>
    <row r="391" spans="1:19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</row>
    <row r="392" spans="1:19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</row>
    <row r="393" spans="1:19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</row>
    <row r="394" spans="1:19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</row>
    <row r="395" spans="1:19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</row>
    <row r="396" spans="1:19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</row>
    <row r="397" spans="1:19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</row>
    <row r="398" spans="1:19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</row>
    <row r="399" spans="1:19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</row>
    <row r="400" spans="1:19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</row>
    <row r="401" spans="1:19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</row>
    <row r="402" spans="1:19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</row>
    <row r="403" spans="1:19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</row>
    <row r="404" spans="1:19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</row>
    <row r="405" spans="1:19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</row>
    <row r="406" spans="1:19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</row>
    <row r="407" spans="1:19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</row>
    <row r="408" spans="1:19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</row>
    <row r="409" spans="1:19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</row>
    <row r="410" spans="1:19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</row>
    <row r="411" spans="1:19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</row>
    <row r="412" spans="1:19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</row>
    <row r="413" spans="1:19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</row>
    <row r="414" spans="1:19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</row>
    <row r="415" spans="1:19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</row>
    <row r="416" spans="1:19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</row>
    <row r="417" spans="1:19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</row>
    <row r="418" spans="1:19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</row>
    <row r="419" spans="1:19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</row>
    <row r="420" spans="1:19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</row>
    <row r="421" spans="1:19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</row>
    <row r="422" spans="1:19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</row>
    <row r="423" spans="1:19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</row>
    <row r="424" spans="1:19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</row>
    <row r="425" spans="1:19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</row>
    <row r="426" spans="1:19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</row>
    <row r="427" spans="1:19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</row>
    <row r="428" spans="1:19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</row>
    <row r="429" spans="1:19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</row>
    <row r="430" spans="1:19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</row>
    <row r="431" spans="1:19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</row>
    <row r="432" spans="1:19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</row>
    <row r="433" spans="1:19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</row>
    <row r="434" spans="1:19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</row>
    <row r="435" spans="1:19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</row>
    <row r="436" spans="1:19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</row>
    <row r="437" spans="1:19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</row>
    <row r="438" spans="1:19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</row>
    <row r="439" spans="1:19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</row>
    <row r="440" spans="1:19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</row>
    <row r="441" spans="1:19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</row>
    <row r="442" spans="1:19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</row>
    <row r="443" spans="1:19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</row>
    <row r="444" spans="1:19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</row>
    <row r="445" spans="1:19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</row>
    <row r="446" spans="1:19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</row>
    <row r="447" spans="1:19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</row>
    <row r="448" spans="1:19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</row>
    <row r="449" spans="1:19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</row>
    <row r="450" spans="1:19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</row>
    <row r="451" spans="1:19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</row>
    <row r="452" spans="1:19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</row>
    <row r="453" spans="1:19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</row>
    <row r="454" spans="1:19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</row>
    <row r="455" spans="1:19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</row>
    <row r="456" spans="1:19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</row>
    <row r="457" spans="1:19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</row>
    <row r="458" spans="1:19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</row>
    <row r="459" spans="1:19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</row>
    <row r="460" spans="1:19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</row>
    <row r="461" spans="1:19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</row>
    <row r="462" spans="1:19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</row>
    <row r="463" spans="1:19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</row>
    <row r="464" spans="1:19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</row>
    <row r="465" spans="1:19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</row>
    <row r="466" spans="1:19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</row>
    <row r="467" spans="1:19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</row>
    <row r="468" spans="1:19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</row>
    <row r="469" spans="1:19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</row>
    <row r="470" spans="1:19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</row>
    <row r="471" spans="1:19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</row>
    <row r="472" spans="1:19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</row>
    <row r="473" spans="1:19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</row>
    <row r="474" spans="1:19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</row>
    <row r="475" spans="1:19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</row>
    <row r="476" spans="1:19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</row>
    <row r="477" spans="1:19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</row>
    <row r="478" spans="1:19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</row>
    <row r="479" spans="1:19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</row>
    <row r="480" spans="1:19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</row>
    <row r="481" spans="1:19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</row>
    <row r="482" spans="1:19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</row>
    <row r="483" spans="1:19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</row>
    <row r="484" spans="1:19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</row>
    <row r="485" spans="1:19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</row>
    <row r="486" spans="1:19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</row>
    <row r="487" spans="1:19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</row>
    <row r="488" spans="1:19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</row>
    <row r="489" spans="1:19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</row>
    <row r="490" spans="1:19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</row>
    <row r="491" spans="1:19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</row>
    <row r="492" spans="1:19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</row>
    <row r="493" spans="1:19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</row>
    <row r="494" spans="1:19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</row>
    <row r="495" spans="1:19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</row>
    <row r="496" spans="1:19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</row>
    <row r="497" spans="1:19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</row>
    <row r="498" spans="1:19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</row>
    <row r="499" spans="1:19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</row>
    <row r="500" spans="1:19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</row>
    <row r="501" spans="1:19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</row>
    <row r="502" spans="1:19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</row>
    <row r="503" spans="1:19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</row>
    <row r="504" spans="1:19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</row>
    <row r="505" spans="1:19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</row>
    <row r="506" spans="1:19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</row>
    <row r="507" spans="1:19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</row>
    <row r="508" spans="1:19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</row>
    <row r="509" spans="1:19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</row>
    <row r="510" spans="1:19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</row>
    <row r="511" spans="1:19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</row>
    <row r="512" spans="1:19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</row>
    <row r="513" spans="1:19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</row>
    <row r="514" spans="1:19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</row>
    <row r="515" spans="1:19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</row>
    <row r="516" spans="1:19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</row>
    <row r="517" spans="1:19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</row>
    <row r="518" spans="1:19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</row>
    <row r="519" spans="1:19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</row>
    <row r="520" spans="1:19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</row>
    <row r="521" spans="1:19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</row>
    <row r="522" spans="1:19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</row>
    <row r="523" spans="1:19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</row>
    <row r="524" spans="1:19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</row>
    <row r="525" spans="1:19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</row>
    <row r="526" spans="1:19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</row>
    <row r="527" spans="1:19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</row>
    <row r="528" spans="1:19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</row>
    <row r="529" spans="1:19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</row>
    <row r="530" spans="1:19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</row>
    <row r="531" spans="1:19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</row>
    <row r="532" spans="1:19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</row>
    <row r="533" spans="1:19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</row>
    <row r="534" spans="1:19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</row>
    <row r="535" spans="1:19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</row>
    <row r="536" spans="1:19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</row>
    <row r="537" spans="1:19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</row>
    <row r="538" spans="1:19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</row>
    <row r="539" spans="1:19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</row>
    <row r="540" spans="1:19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</row>
    <row r="541" spans="1:19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</row>
    <row r="542" spans="1:19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</row>
    <row r="543" spans="1:19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</row>
    <row r="544" spans="1:19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</row>
    <row r="545" spans="1:19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</row>
    <row r="546" spans="1:19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</row>
    <row r="547" spans="1:19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</row>
    <row r="548" spans="1:19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</row>
    <row r="549" spans="1:19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</row>
    <row r="550" spans="1:19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</row>
    <row r="551" spans="1:19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</row>
    <row r="552" spans="1:19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</row>
    <row r="553" spans="1:19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</row>
    <row r="554" spans="1:19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</row>
    <row r="555" spans="1:19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</row>
    <row r="556" spans="1:19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</row>
    <row r="557" spans="1:19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</row>
    <row r="558" spans="1:19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</row>
    <row r="559" spans="1:19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</row>
    <row r="560" spans="1:19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</row>
    <row r="561" spans="1:19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</row>
    <row r="562" spans="1:19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</row>
    <row r="563" spans="1:19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</row>
    <row r="564" spans="1:19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</row>
    <row r="565" spans="1:19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</row>
    <row r="566" spans="1:19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</row>
    <row r="567" spans="1:19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</row>
    <row r="568" spans="1:19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</row>
    <row r="569" spans="1:19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</row>
    <row r="570" spans="1:19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</row>
    <row r="571" spans="1:19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</row>
    <row r="572" spans="1:19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</row>
    <row r="573" spans="1:19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</row>
    <row r="574" spans="1:19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</row>
    <row r="575" spans="1:19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</row>
    <row r="576" spans="1:19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</row>
    <row r="577" spans="1:19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</row>
    <row r="578" spans="1:19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</row>
    <row r="579" spans="1:19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</row>
    <row r="580" spans="1:19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</row>
    <row r="581" spans="1:19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</row>
    <row r="582" spans="1:19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</row>
    <row r="583" spans="1:19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</row>
    <row r="584" spans="1:19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</row>
    <row r="585" spans="1:19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</row>
    <row r="586" spans="1:19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</row>
    <row r="587" spans="1:19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</row>
    <row r="588" spans="1:19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</row>
    <row r="589" spans="1:19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</row>
    <row r="590" spans="1:19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</row>
    <row r="591" spans="1:19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</row>
    <row r="592" spans="1:19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</row>
    <row r="593" spans="1:19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</row>
    <row r="594" spans="1:19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</row>
    <row r="595" spans="1:19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</row>
    <row r="596" spans="1:19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</row>
    <row r="597" spans="1:19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</row>
    <row r="598" spans="1:19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</row>
    <row r="599" spans="1:19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</row>
    <row r="600" spans="1:19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</row>
    <row r="601" spans="1:19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</row>
    <row r="602" spans="1:19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</row>
    <row r="603" spans="1:19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</row>
    <row r="604" spans="1:19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</row>
    <row r="605" spans="1:19">
      <c r="A605" s="23"/>
      <c r="B605" s="23"/>
      <c r="C605" s="23"/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</row>
    <row r="606" spans="1:19">
      <c r="A606" s="23"/>
      <c r="B606" s="23"/>
      <c r="C606" s="23"/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</row>
    <row r="607" spans="1:19">
      <c r="A607" s="23"/>
      <c r="B607" s="23"/>
      <c r="C607" s="23"/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</row>
    <row r="608" spans="1:19">
      <c r="A608" s="23"/>
      <c r="B608" s="23"/>
      <c r="C608" s="23"/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</row>
    <row r="609" spans="1:19">
      <c r="A609" s="23"/>
      <c r="B609" s="23"/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</row>
    <row r="610" spans="1:19">
      <c r="A610" s="23"/>
      <c r="B610" s="23"/>
      <c r="C610" s="23"/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</row>
    <row r="611" spans="1:19">
      <c r="A611" s="23"/>
      <c r="B611" s="23"/>
      <c r="C611" s="23"/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</row>
    <row r="612" spans="1:19">
      <c r="A612" s="23"/>
      <c r="B612" s="23"/>
      <c r="C612" s="23"/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</row>
    <row r="613" spans="1:19">
      <c r="A613" s="23"/>
      <c r="B613" s="23"/>
      <c r="C613" s="23"/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</row>
    <row r="614" spans="1:19">
      <c r="A614" s="23"/>
      <c r="B614" s="23"/>
      <c r="C614" s="23"/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</row>
    <row r="615" spans="1:19">
      <c r="A615" s="23"/>
      <c r="B615" s="23"/>
      <c r="C615" s="23"/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</row>
    <row r="616" spans="1:19">
      <c r="A616" s="23"/>
      <c r="B616" s="23"/>
      <c r="C616" s="23"/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</row>
    <row r="617" spans="1:19">
      <c r="A617" s="23"/>
      <c r="B617" s="23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</row>
    <row r="618" spans="1:19">
      <c r="A618" s="23"/>
      <c r="B618" s="23"/>
      <c r="C618" s="23"/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</row>
    <row r="619" spans="1:19">
      <c r="A619" s="23"/>
      <c r="B619" s="23"/>
      <c r="C619" s="23"/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</row>
    <row r="620" spans="1:19">
      <c r="A620" s="23"/>
      <c r="B620" s="23"/>
      <c r="C620" s="23"/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</row>
    <row r="621" spans="1:19">
      <c r="A621" s="23"/>
      <c r="B621" s="23"/>
      <c r="C621" s="23"/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</row>
    <row r="622" spans="1:19">
      <c r="A622" s="23"/>
      <c r="B622" s="23"/>
      <c r="C622" s="23"/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</row>
    <row r="623" spans="1:19">
      <c r="A623" s="23"/>
      <c r="B623" s="23"/>
      <c r="C623" s="23"/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</row>
    <row r="624" spans="1:19">
      <c r="A624" s="23"/>
      <c r="B624" s="23"/>
      <c r="C624" s="23"/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</row>
    <row r="625" spans="1:19">
      <c r="A625" s="23"/>
      <c r="B625" s="23"/>
      <c r="C625" s="23"/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</row>
    <row r="626" spans="1:19">
      <c r="A626" s="23"/>
      <c r="B626" s="23"/>
      <c r="C626" s="23"/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</row>
    <row r="627" spans="1:19">
      <c r="A627" s="23"/>
      <c r="B627" s="23"/>
      <c r="C627" s="23"/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</row>
    <row r="628" spans="1:19">
      <c r="A628" s="23"/>
      <c r="B628" s="23"/>
      <c r="C628" s="23"/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</row>
    <row r="629" spans="1:19">
      <c r="A629" s="23"/>
      <c r="B629" s="23"/>
      <c r="C629" s="23"/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</row>
    <row r="630" spans="1:19">
      <c r="A630" s="23"/>
      <c r="B630" s="23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</row>
    <row r="631" spans="1:19">
      <c r="A631" s="23"/>
      <c r="B631" s="23"/>
      <c r="C631" s="23"/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</row>
    <row r="632" spans="1:19">
      <c r="A632" s="23"/>
      <c r="B632" s="23"/>
      <c r="C632" s="23"/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</row>
    <row r="633" spans="1:19">
      <c r="A633" s="23"/>
      <c r="B633" s="23"/>
      <c r="C633" s="23"/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</row>
    <row r="634" spans="1:19">
      <c r="A634" s="23"/>
      <c r="B634" s="23"/>
      <c r="C634" s="23"/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</row>
    <row r="635" spans="1:19">
      <c r="A635" s="23"/>
      <c r="B635" s="23"/>
      <c r="C635" s="23"/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</row>
    <row r="636" spans="1:19">
      <c r="A636" s="23"/>
      <c r="B636" s="23"/>
      <c r="C636" s="23"/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</row>
    <row r="637" spans="1:19">
      <c r="A637" s="23"/>
      <c r="B637" s="23"/>
      <c r="C637" s="23"/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</row>
    <row r="638" spans="1:19">
      <c r="A638" s="23"/>
      <c r="B638" s="23"/>
      <c r="C638" s="23"/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</row>
    <row r="639" spans="1:19">
      <c r="A639" s="23"/>
      <c r="B639" s="23"/>
      <c r="C639" s="23"/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</row>
    <row r="640" spans="1:19">
      <c r="A640" s="23"/>
      <c r="B640" s="23"/>
      <c r="C640" s="23"/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</row>
    <row r="641" spans="1:19">
      <c r="A641" s="23"/>
      <c r="B641" s="23"/>
      <c r="C641" s="23"/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</row>
    <row r="642" spans="1:19">
      <c r="A642" s="23"/>
      <c r="B642" s="23"/>
      <c r="C642" s="23"/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</row>
    <row r="643" spans="1:19">
      <c r="A643" s="23"/>
      <c r="B643" s="23"/>
      <c r="C643" s="23"/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</row>
    <row r="644" spans="1:19">
      <c r="A644" s="23"/>
      <c r="B644" s="23"/>
      <c r="C644" s="23"/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</row>
    <row r="645" spans="1:19">
      <c r="A645" s="23"/>
      <c r="B645" s="23"/>
      <c r="C645" s="23"/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</row>
    <row r="646" spans="1:19">
      <c r="A646" s="23"/>
      <c r="B646" s="23"/>
      <c r="C646" s="23"/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</row>
    <row r="647" spans="1:19">
      <c r="A647" s="23"/>
      <c r="B647" s="23"/>
      <c r="C647" s="23"/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</row>
    <row r="648" spans="1:19">
      <c r="A648" s="23"/>
      <c r="B648" s="23"/>
      <c r="C648" s="23"/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</row>
    <row r="649" spans="1:19">
      <c r="A649" s="23"/>
      <c r="B649" s="23"/>
      <c r="C649" s="23"/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</row>
    <row r="650" spans="1:19">
      <c r="A650" s="23"/>
      <c r="B650" s="23"/>
      <c r="C650" s="23"/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</row>
    <row r="651" spans="1:19">
      <c r="A651" s="23"/>
      <c r="B651" s="23"/>
      <c r="C651" s="23"/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</row>
    <row r="652" spans="1:19">
      <c r="A652" s="23"/>
      <c r="B652" s="23"/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</row>
    <row r="653" spans="1:19">
      <c r="A653" s="23"/>
      <c r="B653" s="23"/>
      <c r="C653" s="23"/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</row>
    <row r="654" spans="1:19">
      <c r="A654" s="23"/>
      <c r="B654" s="23"/>
      <c r="C654" s="23"/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</row>
    <row r="655" spans="1:19">
      <c r="A655" s="23"/>
      <c r="B655" s="23"/>
      <c r="C655" s="23"/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</row>
    <row r="656" spans="1:19">
      <c r="A656" s="23"/>
      <c r="B656" s="23"/>
      <c r="C656" s="23"/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</row>
    <row r="657" spans="1:19">
      <c r="A657" s="23"/>
      <c r="B657" s="23"/>
      <c r="C657" s="23"/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</row>
    <row r="658" spans="1:19">
      <c r="A658" s="23"/>
      <c r="B658" s="23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</row>
    <row r="659" spans="1:19">
      <c r="A659" s="23"/>
      <c r="B659" s="23"/>
      <c r="C659" s="23"/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</row>
    <row r="660" spans="1:19">
      <c r="A660" s="23"/>
      <c r="B660" s="23"/>
      <c r="C660" s="23"/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</row>
    <row r="661" spans="1:19">
      <c r="A661" s="23"/>
      <c r="B661" s="23"/>
      <c r="C661" s="23"/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</row>
    <row r="662" spans="1:19">
      <c r="A662" s="23"/>
      <c r="B662" s="23"/>
      <c r="C662" s="23"/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</row>
    <row r="663" spans="1:19">
      <c r="A663" s="23"/>
      <c r="B663" s="23"/>
      <c r="C663" s="23"/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</row>
    <row r="664" spans="1:19">
      <c r="A664" s="23"/>
      <c r="B664" s="23"/>
      <c r="C664" s="23"/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</row>
    <row r="665" spans="1:19">
      <c r="A665" s="23"/>
      <c r="B665" s="23"/>
      <c r="C665" s="23"/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</row>
    <row r="666" spans="1:19">
      <c r="A666" s="23"/>
      <c r="B666" s="23"/>
      <c r="C666" s="23"/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</row>
    <row r="667" spans="1:19">
      <c r="A667" s="23"/>
      <c r="B667" s="23"/>
      <c r="C667" s="23"/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</row>
    <row r="668" spans="1:19">
      <c r="A668" s="23"/>
      <c r="B668" s="23"/>
      <c r="C668" s="23"/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</row>
    <row r="669" spans="1:19">
      <c r="A669" s="23"/>
      <c r="B669" s="23"/>
      <c r="C669" s="23"/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</row>
    <row r="670" spans="1:19">
      <c r="A670" s="23"/>
      <c r="B670" s="23"/>
      <c r="C670" s="23"/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</row>
    <row r="671" spans="1:19">
      <c r="A671" s="23"/>
      <c r="B671" s="23"/>
      <c r="C671" s="23"/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</row>
    <row r="672" spans="1:19">
      <c r="A672" s="23"/>
      <c r="B672" s="23"/>
      <c r="C672" s="23"/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</row>
    <row r="673" spans="1:19">
      <c r="A673" s="23"/>
      <c r="B673" s="23"/>
      <c r="C673" s="23"/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</row>
    <row r="674" spans="1:19">
      <c r="A674" s="23"/>
      <c r="B674" s="23"/>
      <c r="C674" s="23"/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</row>
    <row r="675" spans="1:19">
      <c r="A675" s="23"/>
      <c r="B675" s="23"/>
      <c r="C675" s="23"/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</row>
    <row r="676" spans="1:19">
      <c r="A676" s="23"/>
      <c r="B676" s="23"/>
      <c r="C676" s="23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</row>
    <row r="677" spans="1:19">
      <c r="A677" s="23"/>
      <c r="B677" s="23"/>
      <c r="C677" s="23"/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</row>
    <row r="678" spans="1:19">
      <c r="A678" s="23"/>
      <c r="B678" s="23"/>
      <c r="C678" s="23"/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</row>
    <row r="679" spans="1:19">
      <c r="A679" s="23"/>
      <c r="B679" s="23"/>
      <c r="C679" s="23"/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</row>
    <row r="680" spans="1:19">
      <c r="A680" s="23"/>
      <c r="B680" s="23"/>
      <c r="C680" s="23"/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</row>
    <row r="681" spans="1:19">
      <c r="A681" s="23"/>
      <c r="B681" s="23"/>
      <c r="C681" s="23"/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</row>
    <row r="682" spans="1:19">
      <c r="A682" s="23"/>
      <c r="B682" s="23"/>
      <c r="C682" s="23"/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</row>
    <row r="683" spans="1:19">
      <c r="A683" s="23"/>
      <c r="B683" s="23"/>
      <c r="C683" s="23"/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</row>
    <row r="684" spans="1:19">
      <c r="A684" s="23"/>
      <c r="B684" s="23"/>
      <c r="C684" s="23"/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</row>
    <row r="685" spans="1:19">
      <c r="A685" s="23"/>
      <c r="B685" s="23"/>
      <c r="C685" s="23"/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</row>
    <row r="686" spans="1:19">
      <c r="A686" s="23"/>
      <c r="B686" s="23"/>
      <c r="C686" s="23"/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</row>
    <row r="687" spans="1:19">
      <c r="A687" s="23"/>
      <c r="B687" s="23"/>
      <c r="C687" s="23"/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</row>
    <row r="688" spans="1:19">
      <c r="A688" s="23"/>
      <c r="B688" s="23"/>
      <c r="C688" s="23"/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</row>
    <row r="689" spans="1:19">
      <c r="A689" s="23"/>
      <c r="B689" s="23"/>
      <c r="C689" s="23"/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</row>
    <row r="690" spans="1:19">
      <c r="A690" s="23"/>
      <c r="B690" s="23"/>
      <c r="C690" s="23"/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</row>
    <row r="691" spans="1:19">
      <c r="A691" s="23"/>
      <c r="B691" s="23"/>
      <c r="C691" s="23"/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</row>
    <row r="692" spans="1:19">
      <c r="A692" s="23"/>
      <c r="B692" s="23"/>
      <c r="C692" s="23"/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</row>
    <row r="693" spans="1:19">
      <c r="A693" s="23"/>
      <c r="B693" s="23"/>
      <c r="C693" s="23"/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</row>
    <row r="694" spans="1:19">
      <c r="A694" s="23"/>
      <c r="B694" s="23"/>
      <c r="C694" s="23"/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</row>
    <row r="695" spans="1:19">
      <c r="A695" s="23"/>
      <c r="B695" s="23"/>
      <c r="C695" s="23"/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</row>
    <row r="696" spans="1:19">
      <c r="A696" s="23"/>
      <c r="B696" s="23"/>
      <c r="C696" s="23"/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</row>
    <row r="697" spans="1:19">
      <c r="A697" s="23"/>
      <c r="B697" s="23"/>
      <c r="C697" s="23"/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</row>
    <row r="698" spans="1:19">
      <c r="A698" s="23"/>
      <c r="B698" s="23"/>
      <c r="C698" s="23"/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</row>
    <row r="699" spans="1:19">
      <c r="A699" s="23"/>
      <c r="B699" s="23"/>
      <c r="C699" s="23"/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</row>
    <row r="700" spans="1:19">
      <c r="A700" s="23"/>
      <c r="B700" s="23"/>
      <c r="C700" s="23"/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</row>
    <row r="701" spans="1:19">
      <c r="A701" s="23"/>
      <c r="B701" s="23"/>
      <c r="C701" s="23"/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</row>
    <row r="702" spans="1:19">
      <c r="A702" s="23"/>
      <c r="B702" s="23"/>
      <c r="C702" s="23"/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</row>
    <row r="703" spans="1:19">
      <c r="A703" s="23"/>
      <c r="B703" s="23"/>
      <c r="C703" s="23"/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</row>
    <row r="704" spans="1:19">
      <c r="A704" s="23"/>
      <c r="B704" s="23"/>
      <c r="C704" s="23"/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</row>
    <row r="705" spans="1:19">
      <c r="A705" s="23"/>
      <c r="B705" s="23"/>
      <c r="C705" s="23"/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</row>
    <row r="706" spans="1:19">
      <c r="A706" s="23"/>
      <c r="B706" s="23"/>
      <c r="C706" s="23"/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</row>
    <row r="707" spans="1:19">
      <c r="A707" s="23"/>
      <c r="B707" s="23"/>
      <c r="C707" s="23"/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</row>
    <row r="708" spans="1:19">
      <c r="A708" s="23"/>
      <c r="B708" s="23"/>
      <c r="C708" s="23"/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</row>
    <row r="709" spans="1:19">
      <c r="A709" s="23"/>
      <c r="B709" s="23"/>
      <c r="C709" s="23"/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</row>
    <row r="710" spans="1:19">
      <c r="A710" s="23"/>
      <c r="B710" s="23"/>
      <c r="C710" s="23"/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</row>
    <row r="711" spans="1:19">
      <c r="A711" s="23"/>
      <c r="B711" s="23"/>
      <c r="C711" s="23"/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</row>
    <row r="712" spans="1:19">
      <c r="A712" s="23"/>
      <c r="B712" s="23"/>
      <c r="C712" s="23"/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</row>
    <row r="713" spans="1:19">
      <c r="A713" s="23"/>
      <c r="B713" s="23"/>
      <c r="C713" s="23"/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</row>
    <row r="714" spans="1:19">
      <c r="A714" s="23"/>
      <c r="B714" s="23"/>
      <c r="C714" s="23"/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</row>
    <row r="715" spans="1:19">
      <c r="A715" s="23"/>
      <c r="B715" s="23"/>
      <c r="C715" s="23"/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</row>
    <row r="716" spans="1:19">
      <c r="A716" s="23"/>
      <c r="B716" s="23"/>
      <c r="C716" s="23"/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</row>
    <row r="717" spans="1:19">
      <c r="A717" s="23"/>
      <c r="B717" s="23"/>
      <c r="C717" s="23"/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</row>
    <row r="718" spans="1:19">
      <c r="A718" s="23"/>
      <c r="B718" s="23"/>
      <c r="C718" s="23"/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</row>
    <row r="719" spans="1:19">
      <c r="A719" s="23"/>
      <c r="B719" s="23"/>
      <c r="C719" s="23"/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</row>
    <row r="720" spans="1:19">
      <c r="A720" s="23"/>
      <c r="B720" s="23"/>
      <c r="C720" s="23"/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</row>
    <row r="721" spans="1:19">
      <c r="A721" s="23"/>
      <c r="B721" s="23"/>
      <c r="C721" s="23"/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</row>
    <row r="722" spans="1:19">
      <c r="A722" s="23"/>
      <c r="B722" s="23"/>
      <c r="C722" s="23"/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</row>
    <row r="723" spans="1:19">
      <c r="A723" s="23"/>
      <c r="B723" s="23"/>
      <c r="C723" s="23"/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</row>
    <row r="724" spans="1:19">
      <c r="A724" s="23"/>
      <c r="B724" s="23"/>
      <c r="C724" s="23"/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</row>
    <row r="725" spans="1:19">
      <c r="A725" s="23"/>
      <c r="B725" s="23"/>
      <c r="C725" s="23"/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</row>
    <row r="726" spans="1:19">
      <c r="A726" s="23"/>
      <c r="B726" s="23"/>
      <c r="C726" s="23"/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</row>
    <row r="727" spans="1:19">
      <c r="A727" s="23"/>
      <c r="B727" s="23"/>
      <c r="C727" s="23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</row>
    <row r="728" spans="1:19">
      <c r="A728" s="23"/>
      <c r="B728" s="23"/>
      <c r="C728" s="23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</row>
    <row r="729" spans="1:19">
      <c r="A729" s="23"/>
      <c r="B729" s="23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</row>
    <row r="730" spans="1:19">
      <c r="A730" s="23"/>
      <c r="B730" s="23"/>
      <c r="C730" s="23"/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</row>
    <row r="731" spans="1:19">
      <c r="A731" s="23"/>
      <c r="B731" s="23"/>
      <c r="C731" s="23"/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</row>
    <row r="732" spans="1:19">
      <c r="A732" s="23"/>
      <c r="B732" s="23"/>
      <c r="C732" s="23"/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</row>
    <row r="733" spans="1:19">
      <c r="A733" s="23"/>
      <c r="B733" s="23"/>
      <c r="C733" s="23"/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</row>
    <row r="734" spans="1:19">
      <c r="A734" s="23"/>
      <c r="B734" s="23"/>
      <c r="C734" s="23"/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</row>
    <row r="735" spans="1:19">
      <c r="A735" s="23"/>
      <c r="B735" s="23"/>
      <c r="C735" s="23"/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</row>
    <row r="736" spans="1:19">
      <c r="A736" s="23"/>
      <c r="B736" s="23"/>
      <c r="C736" s="23"/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</row>
    <row r="737" spans="1:19">
      <c r="A737" s="23"/>
      <c r="B737" s="23"/>
      <c r="C737" s="23"/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</row>
    <row r="738" spans="1:19">
      <c r="A738" s="23"/>
      <c r="B738" s="23"/>
      <c r="C738" s="23"/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</row>
    <row r="739" spans="1:19">
      <c r="A739" s="23"/>
      <c r="B739" s="23"/>
      <c r="C739" s="23"/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</row>
    <row r="740" spans="1:19">
      <c r="A740" s="23"/>
      <c r="B740" s="23"/>
      <c r="C740" s="23"/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</row>
    <row r="741" spans="1:19">
      <c r="A741" s="23"/>
      <c r="B741" s="23"/>
      <c r="C741" s="23"/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</row>
    <row r="742" spans="1:19">
      <c r="A742" s="23"/>
      <c r="B742" s="23"/>
      <c r="C742" s="23"/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</row>
    <row r="743" spans="1:19">
      <c r="A743" s="23"/>
      <c r="B743" s="23"/>
      <c r="C743" s="23"/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</row>
    <row r="744" spans="1:19">
      <c r="A744" s="23"/>
      <c r="B744" s="23"/>
      <c r="C744" s="23"/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</row>
    <row r="745" spans="1:19">
      <c r="A745" s="23"/>
      <c r="B745" s="23"/>
      <c r="C745" s="23"/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</row>
    <row r="746" spans="1:19">
      <c r="A746" s="23"/>
      <c r="B746" s="23"/>
      <c r="C746" s="23"/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</row>
    <row r="747" spans="1:19">
      <c r="A747" s="23"/>
      <c r="B747" s="23"/>
      <c r="C747" s="23"/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</row>
    <row r="748" spans="1:19">
      <c r="A748" s="23"/>
      <c r="B748" s="23"/>
      <c r="C748" s="23"/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</row>
    <row r="749" spans="1:19">
      <c r="A749" s="23"/>
      <c r="B749" s="23"/>
      <c r="C749" s="23"/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</row>
    <row r="750" spans="1:19">
      <c r="A750" s="23"/>
      <c r="B750" s="23"/>
      <c r="C750" s="23"/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</row>
    <row r="751" spans="1:19">
      <c r="A751" s="23"/>
      <c r="B751" s="23"/>
      <c r="C751" s="23"/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</row>
    <row r="752" spans="1:19">
      <c r="A752" s="23"/>
      <c r="B752" s="23"/>
      <c r="C752" s="23"/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</row>
    <row r="753" spans="1:19">
      <c r="A753" s="23"/>
      <c r="B753" s="23"/>
      <c r="C753" s="23"/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</row>
    <row r="754" spans="1:19">
      <c r="A754" s="23"/>
      <c r="B754" s="23"/>
      <c r="C754" s="23"/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</row>
    <row r="755" spans="1:19">
      <c r="A755" s="23"/>
      <c r="B755" s="23"/>
      <c r="C755" s="23"/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</row>
    <row r="756" spans="1:19">
      <c r="A756" s="23"/>
      <c r="B756" s="23"/>
      <c r="C756" s="23"/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</row>
    <row r="757" spans="1:19">
      <c r="A757" s="23"/>
      <c r="B757" s="23"/>
      <c r="C757" s="23"/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</row>
    <row r="758" spans="1:19">
      <c r="A758" s="23"/>
      <c r="B758" s="23"/>
      <c r="C758" s="23"/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</row>
    <row r="759" spans="1:19">
      <c r="A759" s="23"/>
      <c r="B759" s="23"/>
      <c r="C759" s="23"/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</row>
    <row r="760" spans="1:19">
      <c r="A760" s="23"/>
      <c r="B760" s="23"/>
      <c r="C760" s="23"/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</row>
    <row r="761" spans="1:19">
      <c r="A761" s="23"/>
      <c r="B761" s="23"/>
      <c r="C761" s="23"/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</row>
    <row r="762" spans="1:19">
      <c r="A762" s="23"/>
      <c r="B762" s="23"/>
      <c r="C762" s="23"/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</row>
    <row r="763" spans="1:19">
      <c r="A763" s="23"/>
      <c r="B763" s="23"/>
      <c r="C763" s="23"/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</row>
    <row r="764" spans="1:19">
      <c r="A764" s="23"/>
      <c r="B764" s="23"/>
      <c r="C764" s="23"/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</row>
    <row r="765" spans="1:19">
      <c r="A765" s="23"/>
      <c r="B765" s="23"/>
      <c r="C765" s="23"/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</row>
    <row r="766" spans="1:19">
      <c r="A766" s="23"/>
      <c r="B766" s="23"/>
      <c r="C766" s="23"/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</row>
    <row r="767" spans="1:19">
      <c r="A767" s="23"/>
      <c r="B767" s="23"/>
      <c r="C767" s="23"/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</row>
    <row r="768" spans="1:19">
      <c r="A768" s="23"/>
      <c r="B768" s="23"/>
      <c r="C768" s="23"/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</row>
    <row r="769" spans="1:19">
      <c r="A769" s="23"/>
      <c r="B769" s="23"/>
      <c r="C769" s="23"/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</row>
    <row r="770" spans="1:19">
      <c r="A770" s="23"/>
      <c r="B770" s="23"/>
      <c r="C770" s="23"/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</row>
    <row r="771" spans="1:19">
      <c r="A771" s="23"/>
      <c r="B771" s="23"/>
      <c r="C771" s="23"/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</row>
    <row r="772" spans="1:19">
      <c r="A772" s="23"/>
      <c r="B772" s="23"/>
      <c r="C772" s="23"/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</row>
    <row r="773" spans="1:19">
      <c r="A773" s="23"/>
      <c r="B773" s="23"/>
      <c r="C773" s="23"/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</row>
    <row r="774" spans="1:19">
      <c r="A774" s="23"/>
      <c r="B774" s="23"/>
      <c r="C774" s="23"/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</row>
    <row r="775" spans="1:19">
      <c r="A775" s="23"/>
      <c r="B775" s="23"/>
      <c r="C775" s="23"/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</row>
    <row r="776" spans="1:19">
      <c r="A776" s="23"/>
      <c r="B776" s="23"/>
      <c r="C776" s="23"/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</row>
    <row r="777" spans="1:19">
      <c r="A777" s="23"/>
      <c r="B777" s="23"/>
      <c r="C777" s="23"/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</row>
    <row r="778" spans="1:19">
      <c r="A778" s="23"/>
      <c r="B778" s="23"/>
      <c r="C778" s="23"/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</row>
    <row r="779" spans="1:19">
      <c r="A779" s="23"/>
      <c r="B779" s="23"/>
      <c r="C779" s="23"/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</row>
    <row r="780" spans="1:19">
      <c r="A780" s="23"/>
      <c r="B780" s="23"/>
      <c r="C780" s="23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</row>
    <row r="781" spans="1:19">
      <c r="A781" s="23"/>
      <c r="B781" s="23"/>
      <c r="C781" s="23"/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</row>
    <row r="782" spans="1:19">
      <c r="A782" s="23"/>
      <c r="B782" s="23"/>
      <c r="C782" s="23"/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</row>
    <row r="783" spans="1:19">
      <c r="A783" s="23"/>
      <c r="B783" s="23"/>
      <c r="C783" s="23"/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</row>
    <row r="784" spans="1:19">
      <c r="A784" s="23"/>
      <c r="B784" s="23"/>
      <c r="C784" s="23"/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</row>
    <row r="785" spans="1:19">
      <c r="A785" s="23"/>
      <c r="B785" s="23"/>
      <c r="C785" s="23"/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</row>
    <row r="786" spans="1:19">
      <c r="A786" s="23"/>
      <c r="B786" s="23"/>
      <c r="C786" s="23"/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</row>
    <row r="787" spans="1:19">
      <c r="A787" s="23"/>
      <c r="B787" s="23"/>
      <c r="C787" s="23"/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</row>
    <row r="788" spans="1:19">
      <c r="A788" s="23"/>
      <c r="B788" s="23"/>
      <c r="C788" s="23"/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</row>
    <row r="789" spans="1:19">
      <c r="A789" s="23"/>
      <c r="B789" s="23"/>
      <c r="C789" s="23"/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</row>
    <row r="790" spans="1:19">
      <c r="A790" s="23"/>
      <c r="B790" s="23"/>
      <c r="C790" s="23"/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</row>
    <row r="791" spans="1:19">
      <c r="A791" s="23"/>
      <c r="B791" s="23"/>
      <c r="C791" s="23"/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</row>
    <row r="792" spans="1:19">
      <c r="A792" s="23"/>
      <c r="B792" s="23"/>
      <c r="C792" s="23"/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</row>
    <row r="793" spans="1:19">
      <c r="A793" s="23"/>
      <c r="B793" s="23"/>
      <c r="C793" s="23"/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</row>
    <row r="794" spans="1:19">
      <c r="A794" s="23"/>
      <c r="B794" s="23"/>
      <c r="C794" s="23"/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</row>
    <row r="795" spans="1:19">
      <c r="A795" s="23"/>
      <c r="B795" s="23"/>
      <c r="C795" s="23"/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</row>
    <row r="796" spans="1:19">
      <c r="A796" s="23"/>
      <c r="B796" s="23"/>
      <c r="C796" s="23"/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</row>
    <row r="797" spans="1:19">
      <c r="A797" s="23"/>
      <c r="B797" s="23"/>
      <c r="C797" s="23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</row>
    <row r="798" spans="1:19">
      <c r="A798" s="23"/>
      <c r="B798" s="23"/>
      <c r="C798" s="23"/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</row>
    <row r="799" spans="1:19">
      <c r="A799" s="23"/>
      <c r="B799" s="23"/>
      <c r="C799" s="23"/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</row>
    <row r="800" spans="1:19">
      <c r="A800" s="23"/>
      <c r="B800" s="23"/>
      <c r="C800" s="23"/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</row>
    <row r="801" spans="1:19">
      <c r="A801" s="23"/>
      <c r="B801" s="23"/>
      <c r="C801" s="23"/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</row>
    <row r="802" spans="1:19">
      <c r="A802" s="23"/>
      <c r="B802" s="23"/>
      <c r="C802" s="23"/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</row>
    <row r="803" spans="1:19">
      <c r="A803" s="23"/>
      <c r="B803" s="23"/>
      <c r="C803" s="23"/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</row>
    <row r="804" spans="1:19">
      <c r="A804" s="23"/>
      <c r="B804" s="23"/>
      <c r="C804" s="23"/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</row>
    <row r="805" spans="1:19">
      <c r="A805" s="23"/>
      <c r="B805" s="23"/>
      <c r="C805" s="23"/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</row>
    <row r="806" spans="1:19">
      <c r="A806" s="23"/>
      <c r="B806" s="23"/>
      <c r="C806" s="23"/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</row>
    <row r="807" spans="1:19">
      <c r="A807" s="23"/>
      <c r="B807" s="23"/>
      <c r="C807" s="23"/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</row>
    <row r="808" spans="1:19">
      <c r="A808" s="23"/>
      <c r="B808" s="23"/>
      <c r="C808" s="23"/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</row>
    <row r="809" spans="1:19">
      <c r="A809" s="23"/>
      <c r="B809" s="23"/>
      <c r="C809" s="23"/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</row>
    <row r="810" spans="1:19">
      <c r="A810" s="23"/>
      <c r="B810" s="23"/>
      <c r="C810" s="23"/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</row>
    <row r="811" spans="1:19">
      <c r="A811" s="23"/>
      <c r="B811" s="23"/>
      <c r="C811" s="23"/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</row>
    <row r="812" spans="1:19">
      <c r="A812" s="23"/>
      <c r="B812" s="23"/>
      <c r="C812" s="23"/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</row>
    <row r="813" spans="1:19">
      <c r="A813" s="23"/>
      <c r="B813" s="23"/>
      <c r="C813" s="23"/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</row>
    <row r="814" spans="1:19">
      <c r="A814" s="23"/>
      <c r="B814" s="23"/>
      <c r="C814" s="23"/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</row>
    <row r="815" spans="1:19">
      <c r="A815" s="23"/>
      <c r="B815" s="23"/>
      <c r="C815" s="23"/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</row>
    <row r="816" spans="1:19">
      <c r="A816" s="23"/>
      <c r="B816" s="23"/>
      <c r="C816" s="23"/>
      <c r="D816" s="23"/>
      <c r="E816" s="23"/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</row>
    <row r="817" spans="1:19">
      <c r="A817" s="23"/>
      <c r="B817" s="23"/>
      <c r="C817" s="23"/>
      <c r="D817" s="23"/>
      <c r="E817" s="23"/>
      <c r="F817" s="23"/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</row>
    <row r="818" spans="1:19">
      <c r="A818" s="23"/>
      <c r="B818" s="23"/>
      <c r="C818" s="23"/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</row>
    <row r="819" spans="1:19">
      <c r="A819" s="23"/>
      <c r="B819" s="23"/>
      <c r="C819" s="23"/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</row>
    <row r="820" spans="1:19">
      <c r="A820" s="23"/>
      <c r="B820" s="23"/>
      <c r="C820" s="23"/>
      <c r="D820" s="23"/>
      <c r="E820" s="23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</row>
    <row r="821" spans="1:19">
      <c r="A821" s="23"/>
      <c r="B821" s="23"/>
      <c r="C821" s="23"/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</row>
    <row r="822" spans="1:19">
      <c r="A822" s="23"/>
      <c r="B822" s="23"/>
      <c r="C822" s="23"/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</row>
    <row r="823" spans="1:19">
      <c r="A823" s="23"/>
      <c r="B823" s="23"/>
      <c r="C823" s="23"/>
      <c r="D823" s="23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</row>
    <row r="824" spans="1:19">
      <c r="A824" s="23"/>
      <c r="B824" s="23"/>
      <c r="C824" s="23"/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</row>
    <row r="825" spans="1:19">
      <c r="A825" s="23"/>
      <c r="B825" s="23"/>
      <c r="C825" s="23"/>
      <c r="D825" s="23"/>
      <c r="E825" s="23"/>
      <c r="F825" s="23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</row>
    <row r="826" spans="1:19">
      <c r="A826" s="23"/>
      <c r="B826" s="23"/>
      <c r="C826" s="23"/>
      <c r="D826" s="23"/>
      <c r="E826" s="23"/>
      <c r="F826" s="23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</row>
    <row r="827" spans="1:19">
      <c r="A827" s="23"/>
      <c r="B827" s="23"/>
      <c r="C827" s="23"/>
      <c r="D827" s="23"/>
      <c r="E827" s="23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</row>
    <row r="828" spans="1:19">
      <c r="A828" s="23"/>
      <c r="B828" s="23"/>
      <c r="C828" s="23"/>
      <c r="D828" s="23"/>
      <c r="E828" s="23"/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</row>
    <row r="829" spans="1:19">
      <c r="A829" s="23"/>
      <c r="B829" s="23"/>
      <c r="C829" s="23"/>
      <c r="D829" s="23"/>
      <c r="E829" s="23"/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</row>
    <row r="830" spans="1:19">
      <c r="A830" s="23"/>
      <c r="B830" s="23"/>
      <c r="C830" s="23"/>
      <c r="D830" s="23"/>
      <c r="E830" s="23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</row>
    <row r="831" spans="1:19">
      <c r="A831" s="23"/>
      <c r="B831" s="23"/>
      <c r="C831" s="23"/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</row>
    <row r="832" spans="1:19">
      <c r="A832" s="23"/>
      <c r="B832" s="23"/>
      <c r="C832" s="23"/>
      <c r="D832" s="23"/>
      <c r="E832" s="23"/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</row>
    <row r="833" spans="1:19">
      <c r="A833" s="23"/>
      <c r="B833" s="23"/>
      <c r="C833" s="23"/>
      <c r="D833" s="23"/>
      <c r="E833" s="23"/>
      <c r="F833" s="23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</row>
    <row r="834" spans="1:19">
      <c r="A834" s="23"/>
      <c r="B834" s="23"/>
      <c r="C834" s="23"/>
      <c r="D834" s="23"/>
      <c r="E834" s="23"/>
      <c r="F834" s="23"/>
      <c r="G834" s="23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</row>
    <row r="835" spans="1:19">
      <c r="A835" s="23"/>
      <c r="B835" s="23"/>
      <c r="C835" s="23"/>
      <c r="D835" s="23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</row>
    <row r="836" spans="1:19">
      <c r="A836" s="23"/>
      <c r="B836" s="23"/>
      <c r="C836" s="23"/>
      <c r="D836" s="23"/>
      <c r="E836" s="23"/>
      <c r="F836" s="23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</row>
    <row r="837" spans="1:19">
      <c r="A837" s="23"/>
      <c r="B837" s="23"/>
      <c r="C837" s="23"/>
      <c r="D837" s="23"/>
      <c r="E837" s="23"/>
      <c r="F837" s="23"/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</row>
    <row r="838" spans="1:19">
      <c r="A838" s="23"/>
      <c r="B838" s="23"/>
      <c r="C838" s="23"/>
      <c r="D838" s="23"/>
      <c r="E838" s="23"/>
      <c r="F838" s="23"/>
      <c r="G838" s="23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</row>
    <row r="839" spans="1:19">
      <c r="A839" s="23"/>
      <c r="B839" s="23"/>
      <c r="C839" s="23"/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</row>
    <row r="840" spans="1:19">
      <c r="A840" s="23"/>
      <c r="B840" s="23"/>
      <c r="C840" s="23"/>
      <c r="D840" s="23"/>
      <c r="E840" s="23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</row>
    <row r="841" spans="1:19">
      <c r="A841" s="23"/>
      <c r="B841" s="23"/>
      <c r="C841" s="23"/>
      <c r="D841" s="23"/>
      <c r="E841" s="23"/>
      <c r="F841" s="23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</row>
    <row r="842" spans="1:19">
      <c r="A842" s="23"/>
      <c r="B842" s="23"/>
      <c r="C842" s="23"/>
      <c r="D842" s="23"/>
      <c r="E842" s="23"/>
      <c r="F842" s="23"/>
      <c r="G842" s="23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</row>
    <row r="843" spans="1:19">
      <c r="A843" s="23"/>
      <c r="B843" s="23"/>
      <c r="C843" s="23"/>
      <c r="D843" s="23"/>
      <c r="E843" s="23"/>
      <c r="F843" s="23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</row>
    <row r="844" spans="1:19">
      <c r="A844" s="23"/>
      <c r="B844" s="23"/>
      <c r="C844" s="23"/>
      <c r="D844" s="23"/>
      <c r="E844" s="23"/>
      <c r="F844" s="23"/>
      <c r="G844" s="23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</row>
    <row r="845" spans="1:19">
      <c r="A845" s="23"/>
      <c r="B845" s="23"/>
      <c r="C845" s="23"/>
      <c r="D845" s="23"/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</row>
    <row r="846" spans="1:19">
      <c r="A846" s="23"/>
      <c r="B846" s="23"/>
      <c r="C846" s="23"/>
      <c r="D846" s="23"/>
      <c r="E846" s="23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</row>
    <row r="847" spans="1:19">
      <c r="A847" s="23"/>
      <c r="B847" s="23"/>
      <c r="C847" s="23"/>
      <c r="D847" s="23"/>
      <c r="E847" s="23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</row>
    <row r="848" spans="1:19">
      <c r="A848" s="23"/>
      <c r="B848" s="23"/>
      <c r="C848" s="23"/>
      <c r="D848" s="23"/>
      <c r="E848" s="23"/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</row>
    <row r="849" spans="1:19">
      <c r="A849" s="23"/>
      <c r="B849" s="23"/>
      <c r="C849" s="23"/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</row>
    <row r="850" spans="1:19">
      <c r="A850" s="23"/>
      <c r="B850" s="23"/>
      <c r="C850" s="23"/>
      <c r="D850" s="23"/>
      <c r="E850" s="23"/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</row>
    <row r="851" spans="1:19">
      <c r="A851" s="23"/>
      <c r="B851" s="23"/>
      <c r="C851" s="23"/>
      <c r="D851" s="23"/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</row>
    <row r="852" spans="1:19">
      <c r="A852" s="23"/>
      <c r="B852" s="23"/>
      <c r="C852" s="23"/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</row>
    <row r="853" spans="1:19">
      <c r="A853" s="23"/>
      <c r="B853" s="23"/>
      <c r="C853" s="23"/>
      <c r="D853" s="23"/>
      <c r="E853" s="23"/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</row>
    <row r="854" spans="1:19">
      <c r="A854" s="23"/>
      <c r="B854" s="23"/>
      <c r="C854" s="23"/>
      <c r="D854" s="23"/>
      <c r="E854" s="23"/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</row>
    <row r="855" spans="1:19">
      <c r="A855" s="23"/>
      <c r="B855" s="23"/>
      <c r="C855" s="23"/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</row>
    <row r="856" spans="1:19">
      <c r="A856" s="23"/>
      <c r="B856" s="23"/>
      <c r="C856" s="23"/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</row>
    <row r="857" spans="1:19">
      <c r="A857" s="23"/>
      <c r="B857" s="23"/>
      <c r="C857" s="23"/>
      <c r="D857" s="23"/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</row>
    <row r="858" spans="1:19">
      <c r="A858" s="23"/>
      <c r="B858" s="23"/>
      <c r="C858" s="23"/>
      <c r="D858" s="23"/>
      <c r="E858" s="23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</row>
    <row r="859" spans="1:19">
      <c r="A859" s="23"/>
      <c r="B859" s="23"/>
      <c r="C859" s="23"/>
      <c r="D859" s="23"/>
      <c r="E859" s="23"/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</row>
    <row r="860" spans="1:19">
      <c r="A860" s="23"/>
      <c r="B860" s="23"/>
      <c r="C860" s="23"/>
      <c r="D860" s="23"/>
      <c r="E860" s="23"/>
      <c r="F860" s="23"/>
      <c r="G860" s="23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</row>
    <row r="861" spans="1:19">
      <c r="A861" s="23"/>
      <c r="B861" s="23"/>
      <c r="C861" s="23"/>
      <c r="D861" s="23"/>
      <c r="E861" s="23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</row>
    <row r="862" spans="1:19">
      <c r="A862" s="23"/>
      <c r="B862" s="23"/>
      <c r="C862" s="23"/>
      <c r="D862" s="23"/>
      <c r="E862" s="23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</row>
    <row r="863" spans="1:19">
      <c r="A863" s="23"/>
      <c r="B863" s="23"/>
      <c r="C863" s="23"/>
      <c r="D863" s="23"/>
      <c r="E863" s="23"/>
      <c r="F863" s="23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</row>
    <row r="864" spans="1:19">
      <c r="A864" s="23"/>
      <c r="B864" s="23"/>
      <c r="C864" s="23"/>
      <c r="D864" s="23"/>
      <c r="E864" s="23"/>
      <c r="F864" s="23"/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</row>
    <row r="865" spans="1:19">
      <c r="A865" s="23"/>
      <c r="B865" s="23"/>
      <c r="C865" s="23"/>
      <c r="D865" s="23"/>
      <c r="E865" s="23"/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</row>
    <row r="866" spans="1:19">
      <c r="A866" s="23"/>
      <c r="B866" s="23"/>
      <c r="C866" s="23"/>
      <c r="D866" s="23"/>
      <c r="E866" s="23"/>
      <c r="F866" s="23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</row>
    <row r="867" spans="1:19">
      <c r="A867" s="23"/>
      <c r="B867" s="23"/>
      <c r="C867" s="23"/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</row>
    <row r="868" spans="1:19">
      <c r="A868" s="23"/>
      <c r="B868" s="23"/>
      <c r="C868" s="23"/>
      <c r="D868" s="23"/>
      <c r="E868" s="23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</row>
    <row r="869" spans="1:19">
      <c r="A869" s="23"/>
      <c r="B869" s="23"/>
      <c r="C869" s="23"/>
      <c r="D869" s="23"/>
      <c r="E869" s="23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</row>
    <row r="870" spans="1:19">
      <c r="A870" s="23"/>
      <c r="B870" s="23"/>
      <c r="C870" s="23"/>
      <c r="D870" s="23"/>
      <c r="E870" s="23"/>
      <c r="F870" s="23"/>
      <c r="G870" s="23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</row>
    <row r="871" spans="1:19">
      <c r="A871" s="23"/>
      <c r="B871" s="23"/>
      <c r="C871" s="23"/>
      <c r="D871" s="23"/>
      <c r="E871" s="23"/>
      <c r="F871" s="23"/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</row>
    <row r="872" spans="1:19">
      <c r="A872" s="23"/>
      <c r="B872" s="23"/>
      <c r="C872" s="23"/>
      <c r="D872" s="23"/>
      <c r="E872" s="23"/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</row>
    <row r="873" spans="1:19">
      <c r="A873" s="23"/>
      <c r="B873" s="23"/>
      <c r="C873" s="23"/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</row>
    <row r="874" spans="1:19">
      <c r="A874" s="23"/>
      <c r="B874" s="23"/>
      <c r="C874" s="23"/>
      <c r="D874" s="23"/>
      <c r="E874" s="23"/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</row>
    <row r="875" spans="1:19">
      <c r="A875" s="23"/>
      <c r="B875" s="23"/>
      <c r="C875" s="23"/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</row>
    <row r="876" spans="1:19">
      <c r="A876" s="23"/>
      <c r="B876" s="23"/>
      <c r="C876" s="23"/>
      <c r="D876" s="23"/>
      <c r="E876" s="23"/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</row>
    <row r="877" spans="1:19">
      <c r="A877" s="23"/>
      <c r="B877" s="23"/>
      <c r="C877" s="23"/>
      <c r="D877" s="23"/>
      <c r="E877" s="23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</row>
    <row r="878" spans="1:19">
      <c r="A878" s="23"/>
      <c r="B878" s="23"/>
      <c r="C878" s="23"/>
      <c r="D878" s="23"/>
      <c r="E878" s="23"/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</row>
    <row r="879" spans="1:19">
      <c r="A879" s="23"/>
      <c r="B879" s="23"/>
      <c r="C879" s="23"/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</row>
    <row r="880" spans="1:19">
      <c r="A880" s="23"/>
      <c r="B880" s="23"/>
      <c r="C880" s="23"/>
      <c r="D880" s="23"/>
      <c r="E880" s="23"/>
      <c r="F880" s="23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</row>
    <row r="881" spans="1:19">
      <c r="A881" s="23"/>
      <c r="B881" s="23"/>
      <c r="C881" s="23"/>
      <c r="D881" s="23"/>
      <c r="E881" s="23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</row>
    <row r="882" spans="1:19">
      <c r="A882" s="23"/>
      <c r="B882" s="23"/>
      <c r="C882" s="23"/>
      <c r="D882" s="23"/>
      <c r="E882" s="23"/>
      <c r="F882" s="23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</row>
    <row r="883" spans="1:19">
      <c r="A883" s="23"/>
      <c r="B883" s="23"/>
      <c r="C883" s="23"/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</row>
    <row r="884" spans="1:19">
      <c r="A884" s="23"/>
      <c r="B884" s="23"/>
      <c r="C884" s="23"/>
      <c r="D884" s="23"/>
      <c r="E884" s="23"/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</row>
    <row r="885" spans="1:19">
      <c r="A885" s="23"/>
      <c r="B885" s="23"/>
      <c r="C885" s="23"/>
      <c r="D885" s="23"/>
      <c r="E885" s="23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</row>
    <row r="886" spans="1:19">
      <c r="A886" s="23"/>
      <c r="B886" s="23"/>
      <c r="C886" s="23"/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</row>
    <row r="887" spans="1:19">
      <c r="A887" s="23"/>
      <c r="B887" s="23"/>
      <c r="C887" s="23"/>
      <c r="D887" s="23"/>
      <c r="E887" s="23"/>
      <c r="F887" s="23"/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</row>
    <row r="888" spans="1:19">
      <c r="A888" s="23"/>
      <c r="B888" s="23"/>
      <c r="C888" s="23"/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</row>
    <row r="889" spans="1:19">
      <c r="A889" s="23"/>
      <c r="B889" s="23"/>
      <c r="C889" s="23"/>
      <c r="D889" s="23"/>
      <c r="E889" s="23"/>
      <c r="F889" s="23"/>
      <c r="G889" s="23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</row>
    <row r="890" spans="1:19">
      <c r="A890" s="23"/>
      <c r="B890" s="23"/>
      <c r="C890" s="23"/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</row>
    <row r="891" spans="1:19">
      <c r="A891" s="23"/>
      <c r="B891" s="23"/>
      <c r="C891" s="23"/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</row>
    <row r="892" spans="1:19">
      <c r="A892" s="23"/>
      <c r="B892" s="23"/>
      <c r="C892" s="23"/>
      <c r="D892" s="23"/>
      <c r="E892" s="23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</row>
    <row r="893" spans="1:19">
      <c r="A893" s="23"/>
      <c r="B893" s="23"/>
      <c r="C893" s="23"/>
      <c r="D893" s="23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</row>
    <row r="894" spans="1:19">
      <c r="A894" s="23"/>
      <c r="B894" s="23"/>
      <c r="C894" s="23"/>
      <c r="D894" s="23"/>
      <c r="E894" s="23"/>
      <c r="F894" s="23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</row>
    <row r="895" spans="1:19">
      <c r="A895" s="23"/>
      <c r="B895" s="23"/>
      <c r="C895" s="23"/>
      <c r="D895" s="23"/>
      <c r="E895" s="23"/>
      <c r="F895" s="23"/>
      <c r="G895" s="23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</row>
    <row r="896" spans="1:19">
      <c r="A896" s="23"/>
      <c r="B896" s="23"/>
      <c r="C896" s="23"/>
      <c r="D896" s="23"/>
      <c r="E896" s="23"/>
      <c r="F896" s="23"/>
      <c r="G896" s="23"/>
      <c r="H896" s="23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</row>
    <row r="897" spans="1:19">
      <c r="A897" s="23"/>
      <c r="B897" s="23"/>
      <c r="C897" s="23"/>
      <c r="D897" s="23"/>
      <c r="E897" s="23"/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</row>
    <row r="898" spans="1:19">
      <c r="A898" s="23"/>
      <c r="B898" s="23"/>
      <c r="C898" s="23"/>
      <c r="D898" s="23"/>
      <c r="E898" s="23"/>
      <c r="F898" s="23"/>
      <c r="G898" s="23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</row>
    <row r="899" spans="1:19">
      <c r="A899" s="23"/>
      <c r="B899" s="23"/>
      <c r="C899" s="23"/>
      <c r="D899" s="23"/>
      <c r="E899" s="23"/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</row>
    <row r="900" spans="1:19">
      <c r="A900" s="23"/>
      <c r="B900" s="23"/>
      <c r="C900" s="23"/>
      <c r="D900" s="23"/>
      <c r="E900" s="23"/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</row>
    <row r="901" spans="1:19">
      <c r="A901" s="23"/>
      <c r="B901" s="23"/>
      <c r="C901" s="23"/>
      <c r="D901" s="23"/>
      <c r="E901" s="23"/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</row>
    <row r="902" spans="1:19">
      <c r="A902" s="23"/>
      <c r="B902" s="23"/>
      <c r="C902" s="23"/>
      <c r="D902" s="23"/>
      <c r="E902" s="23"/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</row>
    <row r="903" spans="1:19">
      <c r="A903" s="23"/>
      <c r="B903" s="23"/>
      <c r="C903" s="23"/>
      <c r="D903" s="23"/>
      <c r="E903" s="23"/>
      <c r="F903" s="23"/>
      <c r="G903" s="23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</row>
    <row r="904" spans="1:19">
      <c r="A904" s="23"/>
      <c r="B904" s="23"/>
      <c r="C904" s="23"/>
      <c r="D904" s="23"/>
      <c r="E904" s="23"/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</row>
    <row r="905" spans="1:19">
      <c r="A905" s="23"/>
      <c r="B905" s="23"/>
      <c r="C905" s="23"/>
      <c r="D905" s="23"/>
      <c r="E905" s="23"/>
      <c r="F905" s="23"/>
      <c r="G905" s="23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</row>
    <row r="906" spans="1:19">
      <c r="A906" s="23"/>
      <c r="B906" s="23"/>
      <c r="C906" s="23"/>
      <c r="D906" s="23"/>
      <c r="E906" s="23"/>
      <c r="F906" s="23"/>
      <c r="G906" s="23"/>
      <c r="H906" s="23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</row>
    <row r="907" spans="1:19">
      <c r="A907" s="23"/>
      <c r="B907" s="23"/>
      <c r="C907" s="23"/>
      <c r="D907" s="23"/>
      <c r="E907" s="23"/>
      <c r="F907" s="23"/>
      <c r="G907" s="23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</row>
    <row r="908" spans="1:19">
      <c r="A908" s="23"/>
      <c r="B908" s="23"/>
      <c r="C908" s="23"/>
      <c r="D908" s="23"/>
      <c r="E908" s="23"/>
      <c r="F908" s="23"/>
      <c r="G908" s="23"/>
      <c r="H908" s="23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</row>
    <row r="909" spans="1:19">
      <c r="A909" s="23"/>
      <c r="B909" s="23"/>
      <c r="C909" s="23"/>
      <c r="D909" s="23"/>
      <c r="E909" s="23"/>
      <c r="F909" s="23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</row>
    <row r="910" spans="1:19">
      <c r="A910" s="23"/>
      <c r="B910" s="23"/>
      <c r="C910" s="23"/>
      <c r="D910" s="23"/>
      <c r="E910" s="23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</row>
    <row r="911" spans="1:19">
      <c r="A911" s="23"/>
      <c r="B911" s="23"/>
      <c r="C911" s="23"/>
      <c r="D911" s="23"/>
      <c r="E911" s="23"/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</row>
    <row r="912" spans="1:19">
      <c r="A912" s="23"/>
      <c r="B912" s="23"/>
      <c r="C912" s="23"/>
      <c r="D912" s="23"/>
      <c r="E912" s="23"/>
      <c r="F912" s="23"/>
      <c r="G912" s="23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</row>
    <row r="913" spans="1:19">
      <c r="A913" s="23"/>
      <c r="B913" s="23"/>
      <c r="C913" s="23"/>
      <c r="D913" s="23"/>
      <c r="E913" s="23"/>
      <c r="F913" s="23"/>
      <c r="G913" s="23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</row>
    <row r="914" spans="1:19">
      <c r="A914" s="23"/>
      <c r="B914" s="23"/>
      <c r="C914" s="23"/>
      <c r="D914" s="23"/>
      <c r="E914" s="23"/>
      <c r="F914" s="23"/>
      <c r="G914" s="23"/>
      <c r="H914" s="23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</row>
    <row r="915" spans="1:19">
      <c r="A915" s="23"/>
      <c r="B915" s="23"/>
      <c r="C915" s="23"/>
      <c r="D915" s="23"/>
      <c r="E915" s="23"/>
      <c r="F915" s="23"/>
      <c r="G915" s="23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</row>
    <row r="916" spans="1:19">
      <c r="A916" s="23"/>
      <c r="B916" s="23"/>
      <c r="C916" s="23"/>
      <c r="D916" s="23"/>
      <c r="E916" s="23"/>
      <c r="F916" s="23"/>
      <c r="G916" s="23"/>
      <c r="H916" s="23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</row>
    <row r="917" spans="1:19">
      <c r="A917" s="23"/>
      <c r="B917" s="23"/>
      <c r="C917" s="23"/>
      <c r="D917" s="23"/>
      <c r="E917" s="23"/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</row>
    <row r="918" spans="1:19">
      <c r="A918" s="23"/>
      <c r="B918" s="23"/>
      <c r="C918" s="23"/>
      <c r="D918" s="23"/>
      <c r="E918" s="23"/>
      <c r="F918" s="23"/>
      <c r="G918" s="23"/>
      <c r="H918" s="23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</row>
    <row r="919" spans="1:19">
      <c r="A919" s="23"/>
      <c r="B919" s="23"/>
      <c r="C919" s="23"/>
      <c r="D919" s="23"/>
      <c r="E919" s="23"/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</row>
    <row r="920" spans="1:19">
      <c r="A920" s="23"/>
      <c r="B920" s="23"/>
      <c r="C920" s="23"/>
      <c r="D920" s="23"/>
      <c r="E920" s="23"/>
      <c r="F920" s="23"/>
      <c r="G920" s="23"/>
      <c r="H920" s="23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</row>
    <row r="921" spans="1:19">
      <c r="A921" s="23"/>
      <c r="B921" s="23"/>
      <c r="C921" s="23"/>
      <c r="D921" s="23"/>
      <c r="E921" s="23"/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</row>
    <row r="922" spans="1:19">
      <c r="A922" s="23"/>
      <c r="B922" s="23"/>
      <c r="C922" s="23"/>
      <c r="D922" s="23"/>
      <c r="E922" s="23"/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</row>
    <row r="923" spans="1:19">
      <c r="A923" s="23"/>
      <c r="B923" s="23"/>
      <c r="C923" s="23"/>
      <c r="D923" s="23"/>
      <c r="E923" s="23"/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</row>
    <row r="924" spans="1:19">
      <c r="A924" s="23"/>
      <c r="B924" s="23"/>
      <c r="C924" s="23"/>
      <c r="D924" s="23"/>
      <c r="E924" s="23"/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</row>
    <row r="925" spans="1:19">
      <c r="A925" s="23"/>
      <c r="B925" s="23"/>
      <c r="C925" s="23"/>
      <c r="D925" s="23"/>
      <c r="E925" s="23"/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</row>
    <row r="926" spans="1:19">
      <c r="A926" s="23"/>
      <c r="B926" s="23"/>
      <c r="C926" s="23"/>
      <c r="D926" s="23"/>
      <c r="E926" s="23"/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</row>
    <row r="927" spans="1:19">
      <c r="A927" s="23"/>
      <c r="B927" s="23"/>
      <c r="C927" s="23"/>
      <c r="D927" s="23"/>
      <c r="E927" s="23"/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</row>
    <row r="928" spans="1:19">
      <c r="A928" s="23"/>
      <c r="B928" s="23"/>
      <c r="C928" s="23"/>
      <c r="D928" s="23"/>
      <c r="E928" s="23"/>
      <c r="F928" s="23"/>
      <c r="G928" s="23"/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</row>
    <row r="929" spans="1:19">
      <c r="A929" s="23"/>
      <c r="B929" s="23"/>
      <c r="C929" s="23"/>
      <c r="D929" s="23"/>
      <c r="E929" s="23"/>
      <c r="F929" s="23"/>
      <c r="G929" s="23"/>
      <c r="H929" s="23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</row>
    <row r="930" spans="1:19">
      <c r="A930" s="23"/>
      <c r="B930" s="23"/>
      <c r="C930" s="23"/>
      <c r="D930" s="23"/>
      <c r="E930" s="23"/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</row>
    <row r="931" spans="1:19">
      <c r="A931" s="23"/>
      <c r="B931" s="23"/>
      <c r="C931" s="23"/>
      <c r="D931" s="23"/>
      <c r="E931" s="23"/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</row>
    <row r="932" spans="1:19">
      <c r="A932" s="23"/>
      <c r="B932" s="23"/>
      <c r="C932" s="23"/>
      <c r="D932" s="23"/>
      <c r="E932" s="23"/>
      <c r="F932" s="23"/>
      <c r="G932" s="23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</row>
    <row r="933" spans="1:19">
      <c r="A933" s="23"/>
      <c r="B933" s="23"/>
      <c r="C933" s="23"/>
      <c r="D933" s="23"/>
      <c r="E933" s="23"/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</row>
    <row r="934" spans="1:19">
      <c r="A934" s="23"/>
      <c r="B934" s="23"/>
      <c r="C934" s="23"/>
      <c r="D934" s="23"/>
      <c r="E934" s="23"/>
      <c r="F934" s="23"/>
      <c r="G934" s="23"/>
      <c r="H934" s="23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</row>
    <row r="935" spans="1:19">
      <c r="A935" s="23"/>
      <c r="B935" s="23"/>
      <c r="C935" s="23"/>
      <c r="D935" s="23"/>
      <c r="E935" s="23"/>
      <c r="F935" s="23"/>
      <c r="G935" s="23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</row>
    <row r="936" spans="1:19">
      <c r="A936" s="23"/>
      <c r="B936" s="23"/>
      <c r="C936" s="23"/>
      <c r="D936" s="23"/>
      <c r="E936" s="23"/>
      <c r="F936" s="23"/>
      <c r="G936" s="23"/>
      <c r="H936" s="23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</row>
    <row r="937" spans="1:19">
      <c r="A937" s="23"/>
      <c r="B937" s="23"/>
      <c r="C937" s="23"/>
      <c r="D937" s="23"/>
      <c r="E937" s="23"/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</row>
    <row r="938" spans="1:19">
      <c r="A938" s="23"/>
      <c r="B938" s="23"/>
      <c r="C938" s="23"/>
      <c r="D938" s="23"/>
      <c r="E938" s="23"/>
      <c r="F938" s="23"/>
      <c r="G938" s="23"/>
      <c r="H938" s="23"/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</row>
    <row r="939" spans="1:19">
      <c r="A939" s="23"/>
      <c r="B939" s="23"/>
      <c r="C939" s="23"/>
      <c r="D939" s="23"/>
      <c r="E939" s="23"/>
      <c r="F939" s="23"/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</row>
    <row r="940" spans="1:19">
      <c r="A940" s="23"/>
      <c r="B940" s="23"/>
      <c r="C940" s="23"/>
      <c r="D940" s="23"/>
      <c r="E940" s="23"/>
      <c r="F940" s="23"/>
      <c r="G940" s="23"/>
      <c r="H940" s="23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</row>
    <row r="941" spans="1:19">
      <c r="A941" s="23"/>
      <c r="B941" s="23"/>
      <c r="C941" s="23"/>
      <c r="D941" s="23"/>
      <c r="E941" s="23"/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</row>
    <row r="942" spans="1:19">
      <c r="A942" s="23"/>
      <c r="B942" s="23"/>
      <c r="C942" s="23"/>
      <c r="D942" s="23"/>
      <c r="E942" s="23"/>
      <c r="F942" s="23"/>
      <c r="G942" s="23"/>
      <c r="H942" s="23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</row>
    <row r="943" spans="1:19">
      <c r="A943" s="23"/>
      <c r="B943" s="23"/>
      <c r="C943" s="23"/>
      <c r="D943" s="23"/>
      <c r="E943" s="23"/>
      <c r="F943" s="23"/>
      <c r="G943" s="23"/>
      <c r="H943" s="23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</row>
    <row r="944" spans="1:19">
      <c r="A944" s="23"/>
      <c r="B944" s="23"/>
      <c r="C944" s="23"/>
      <c r="D944" s="23"/>
      <c r="E944" s="23"/>
      <c r="F944" s="23"/>
      <c r="G944" s="23"/>
      <c r="H944" s="23"/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</row>
    <row r="945" spans="1:19">
      <c r="A945" s="23"/>
      <c r="B945" s="23"/>
      <c r="C945" s="23"/>
      <c r="D945" s="23"/>
      <c r="E945" s="23"/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</row>
    <row r="946" spans="1:19">
      <c r="A946" s="23"/>
      <c r="B946" s="23"/>
      <c r="C946" s="23"/>
      <c r="D946" s="23"/>
      <c r="E946" s="23"/>
      <c r="F946" s="23"/>
      <c r="G946" s="23"/>
      <c r="H946" s="23"/>
      <c r="I946" s="23"/>
      <c r="J946" s="23"/>
      <c r="K946" s="23"/>
      <c r="L946" s="23"/>
      <c r="M946" s="23"/>
      <c r="N946" s="23"/>
      <c r="O946" s="23"/>
      <c r="P946" s="23"/>
      <c r="Q946" s="23"/>
      <c r="R946" s="23"/>
      <c r="S946" s="23"/>
    </row>
    <row r="947" spans="1:19">
      <c r="A947" s="23"/>
      <c r="B947" s="23"/>
      <c r="C947" s="23"/>
      <c r="D947" s="23"/>
      <c r="E947" s="23"/>
      <c r="F947" s="23"/>
      <c r="G947" s="23"/>
      <c r="H947" s="23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</row>
    <row r="948" spans="1:19">
      <c r="A948" s="23"/>
      <c r="B948" s="23"/>
      <c r="C948" s="23"/>
      <c r="D948" s="23"/>
      <c r="E948" s="23"/>
      <c r="F948" s="23"/>
      <c r="G948" s="23"/>
      <c r="H948" s="23"/>
      <c r="I948" s="23"/>
      <c r="J948" s="23"/>
      <c r="K948" s="23"/>
      <c r="L948" s="23"/>
      <c r="M948" s="23"/>
      <c r="N948" s="23"/>
      <c r="O948" s="23"/>
      <c r="P948" s="23"/>
      <c r="Q948" s="23"/>
      <c r="R948" s="23"/>
      <c r="S948" s="23"/>
    </row>
    <row r="949" spans="1:19">
      <c r="A949" s="23"/>
      <c r="B949" s="23"/>
      <c r="C949" s="23"/>
      <c r="D949" s="23"/>
      <c r="E949" s="23"/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</row>
    <row r="950" spans="1:19">
      <c r="A950" s="23"/>
      <c r="B950" s="23"/>
      <c r="C950" s="23"/>
      <c r="D950" s="23"/>
      <c r="E950" s="23"/>
      <c r="F950" s="23"/>
      <c r="G950" s="23"/>
      <c r="H950" s="23"/>
      <c r="I950" s="23"/>
      <c r="J950" s="23"/>
      <c r="K950" s="23"/>
      <c r="L950" s="23"/>
      <c r="M950" s="23"/>
      <c r="N950" s="23"/>
      <c r="O950" s="23"/>
      <c r="P950" s="23"/>
      <c r="Q950" s="23"/>
      <c r="R950" s="23"/>
      <c r="S950" s="23"/>
    </row>
    <row r="951" spans="1:19">
      <c r="A951" s="23"/>
      <c r="B951" s="23"/>
      <c r="C951" s="23"/>
      <c r="D951" s="23"/>
      <c r="E951" s="23"/>
      <c r="F951" s="23"/>
      <c r="G951" s="23"/>
      <c r="H951" s="23"/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</row>
    <row r="952" spans="1:19">
      <c r="A952" s="23"/>
      <c r="B952" s="23"/>
      <c r="C952" s="23"/>
      <c r="D952" s="23"/>
      <c r="E952" s="23"/>
      <c r="F952" s="23"/>
      <c r="G952" s="23"/>
      <c r="H952" s="23"/>
      <c r="I952" s="23"/>
      <c r="J952" s="23"/>
      <c r="K952" s="23"/>
      <c r="L952" s="23"/>
      <c r="M952" s="23"/>
      <c r="N952" s="23"/>
      <c r="O952" s="23"/>
      <c r="P952" s="23"/>
      <c r="Q952" s="23"/>
      <c r="R952" s="23"/>
      <c r="S952" s="23"/>
    </row>
    <row r="953" spans="1:19">
      <c r="A953" s="23"/>
      <c r="B953" s="23"/>
      <c r="C953" s="23"/>
      <c r="D953" s="23"/>
      <c r="E953" s="23"/>
      <c r="F953" s="23"/>
      <c r="G953" s="23"/>
      <c r="H953" s="23"/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</row>
    <row r="954" spans="1:19">
      <c r="A954" s="23"/>
      <c r="B954" s="23"/>
      <c r="C954" s="23"/>
      <c r="D954" s="23"/>
      <c r="E954" s="23"/>
      <c r="F954" s="23"/>
      <c r="G954" s="23"/>
      <c r="H954" s="23"/>
      <c r="I954" s="23"/>
      <c r="J954" s="23"/>
      <c r="K954" s="23"/>
      <c r="L954" s="23"/>
      <c r="M954" s="23"/>
      <c r="N954" s="23"/>
      <c r="O954" s="23"/>
      <c r="P954" s="23"/>
      <c r="Q954" s="23"/>
      <c r="R954" s="23"/>
      <c r="S954" s="23"/>
    </row>
    <row r="955" spans="1:19">
      <c r="A955" s="23"/>
      <c r="B955" s="23"/>
      <c r="C955" s="23"/>
      <c r="D955" s="23"/>
      <c r="E955" s="23"/>
      <c r="F955" s="23"/>
      <c r="G955" s="23"/>
      <c r="H955" s="23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</row>
    <row r="956" spans="1:19">
      <c r="A956" s="23"/>
      <c r="B956" s="23"/>
      <c r="C956" s="23"/>
      <c r="D956" s="23"/>
      <c r="E956" s="23"/>
      <c r="F956" s="23"/>
      <c r="G956" s="23"/>
      <c r="H956" s="23"/>
      <c r="I956" s="23"/>
      <c r="J956" s="23"/>
      <c r="K956" s="23"/>
      <c r="L956" s="23"/>
      <c r="M956" s="23"/>
      <c r="N956" s="23"/>
      <c r="O956" s="23"/>
      <c r="P956" s="23"/>
      <c r="Q956" s="23"/>
      <c r="R956" s="23"/>
      <c r="S956" s="23"/>
    </row>
    <row r="957" spans="1:19">
      <c r="A957" s="23"/>
      <c r="B957" s="23"/>
      <c r="C957" s="23"/>
      <c r="D957" s="23"/>
      <c r="E957" s="23"/>
      <c r="F957" s="23"/>
      <c r="G957" s="23"/>
      <c r="H957" s="23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</row>
    <row r="958" spans="1:19">
      <c r="A958" s="23"/>
      <c r="B958" s="23"/>
      <c r="C958" s="23"/>
      <c r="D958" s="23"/>
      <c r="E958" s="23"/>
      <c r="F958" s="23"/>
      <c r="G958" s="23"/>
      <c r="H958" s="23"/>
      <c r="I958" s="23"/>
      <c r="J958" s="23"/>
      <c r="K958" s="23"/>
      <c r="L958" s="23"/>
      <c r="M958" s="23"/>
      <c r="N958" s="23"/>
      <c r="O958" s="23"/>
      <c r="P958" s="23"/>
      <c r="Q958" s="23"/>
      <c r="R958" s="23"/>
      <c r="S958" s="23"/>
    </row>
    <row r="959" spans="1:19">
      <c r="A959" s="23"/>
      <c r="B959" s="23"/>
      <c r="C959" s="23"/>
      <c r="D959" s="23"/>
      <c r="E959" s="23"/>
      <c r="F959" s="23"/>
      <c r="G959" s="23"/>
      <c r="H959" s="23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</row>
    <row r="960" spans="1:19">
      <c r="A960" s="23"/>
      <c r="B960" s="23"/>
      <c r="C960" s="23"/>
      <c r="D960" s="23"/>
      <c r="E960" s="23"/>
      <c r="F960" s="23"/>
      <c r="G960" s="23"/>
      <c r="H960" s="23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</row>
    <row r="961" spans="1:19">
      <c r="A961" s="23"/>
      <c r="B961" s="23"/>
      <c r="C961" s="23"/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</row>
    <row r="962" spans="1:19">
      <c r="A962" s="23"/>
      <c r="B962" s="23"/>
      <c r="C962" s="23"/>
      <c r="D962" s="23"/>
      <c r="E962" s="23"/>
      <c r="F962" s="23"/>
      <c r="G962" s="23"/>
      <c r="H962" s="23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</row>
    <row r="963" spans="1:19">
      <c r="A963" s="23"/>
      <c r="B963" s="23"/>
      <c r="C963" s="23"/>
      <c r="D963" s="23"/>
      <c r="E963" s="23"/>
      <c r="F963" s="23"/>
      <c r="G963" s="23"/>
      <c r="H963" s="23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</row>
    <row r="964" spans="1:19">
      <c r="A964" s="23"/>
      <c r="B964" s="23"/>
      <c r="C964" s="23"/>
      <c r="D964" s="23"/>
      <c r="E964" s="23"/>
      <c r="F964" s="23"/>
      <c r="G964" s="23"/>
      <c r="H964" s="23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</row>
    <row r="965" spans="1:19">
      <c r="A965" s="23"/>
      <c r="B965" s="23"/>
      <c r="C965" s="23"/>
      <c r="D965" s="23"/>
      <c r="E965" s="23"/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</row>
    <row r="966" spans="1:19">
      <c r="A966" s="23"/>
      <c r="B966" s="23"/>
      <c r="C966" s="23"/>
      <c r="D966" s="23"/>
      <c r="E966" s="23"/>
      <c r="F966" s="23"/>
      <c r="G966" s="23"/>
      <c r="H966" s="23"/>
      <c r="I966" s="23"/>
      <c r="J966" s="23"/>
      <c r="K966" s="23"/>
      <c r="L966" s="23"/>
      <c r="M966" s="23"/>
      <c r="N966" s="23"/>
      <c r="O966" s="23"/>
      <c r="P966" s="23"/>
      <c r="Q966" s="23"/>
      <c r="R966" s="23"/>
      <c r="S966" s="23"/>
    </row>
    <row r="967" spans="1:19">
      <c r="A967" s="23"/>
      <c r="B967" s="23"/>
      <c r="C967" s="23"/>
      <c r="D967" s="23"/>
      <c r="E967" s="23"/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</row>
    <row r="968" spans="1:19">
      <c r="A968" s="23"/>
      <c r="B968" s="23"/>
      <c r="C968" s="23"/>
      <c r="D968" s="23"/>
      <c r="E968" s="23"/>
      <c r="F968" s="23"/>
      <c r="G968" s="23"/>
      <c r="H968" s="23"/>
      <c r="I968" s="23"/>
      <c r="J968" s="23"/>
      <c r="K968" s="23"/>
      <c r="L968" s="23"/>
      <c r="M968" s="23"/>
      <c r="N968" s="23"/>
      <c r="O968" s="23"/>
      <c r="P968" s="23"/>
      <c r="Q968" s="23"/>
      <c r="R968" s="23"/>
      <c r="S968" s="23"/>
    </row>
    <row r="969" spans="1:19">
      <c r="A969" s="23"/>
      <c r="B969" s="23"/>
      <c r="C969" s="23"/>
      <c r="D969" s="23"/>
      <c r="E969" s="23"/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</row>
    <row r="970" spans="1:19">
      <c r="A970" s="23"/>
      <c r="B970" s="23"/>
      <c r="C970" s="23"/>
      <c r="D970" s="23"/>
      <c r="E970" s="23"/>
      <c r="F970" s="23"/>
      <c r="G970" s="23"/>
      <c r="H970" s="23"/>
      <c r="I970" s="23"/>
      <c r="J970" s="23"/>
      <c r="K970" s="23"/>
      <c r="L970" s="23"/>
      <c r="M970" s="23"/>
      <c r="N970" s="23"/>
      <c r="O970" s="23"/>
      <c r="P970" s="23"/>
      <c r="Q970" s="23"/>
      <c r="R970" s="23"/>
      <c r="S970" s="23"/>
    </row>
    <row r="971" spans="1:19">
      <c r="A971" s="23"/>
      <c r="B971" s="23"/>
      <c r="C971" s="23"/>
      <c r="D971" s="23"/>
      <c r="E971" s="23"/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</row>
    <row r="972" spans="1:19">
      <c r="A972" s="23"/>
      <c r="B972" s="23"/>
      <c r="C972" s="23"/>
      <c r="D972" s="23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</row>
    <row r="973" spans="1:19">
      <c r="A973" s="23"/>
      <c r="B973" s="23"/>
      <c r="C973" s="23"/>
      <c r="D973" s="23"/>
      <c r="E973" s="23"/>
      <c r="F973" s="23"/>
      <c r="G973" s="23"/>
      <c r="H973" s="23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</row>
    <row r="974" spans="1:19">
      <c r="A974" s="23"/>
      <c r="B974" s="23"/>
      <c r="C974" s="23"/>
      <c r="D974" s="23"/>
      <c r="E974" s="23"/>
      <c r="F974" s="23"/>
      <c r="G974" s="23"/>
      <c r="H974" s="23"/>
      <c r="I974" s="23"/>
      <c r="J974" s="23"/>
      <c r="K974" s="23"/>
      <c r="L974" s="23"/>
      <c r="M974" s="23"/>
      <c r="N974" s="23"/>
      <c r="O974" s="23"/>
      <c r="P974" s="23"/>
      <c r="Q974" s="23"/>
      <c r="R974" s="23"/>
      <c r="S974" s="23"/>
    </row>
    <row r="975" spans="1:19">
      <c r="A975" s="23"/>
      <c r="B975" s="23"/>
      <c r="C975" s="23"/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</row>
    <row r="976" spans="1:19">
      <c r="A976" s="23"/>
      <c r="B976" s="23"/>
      <c r="C976" s="23"/>
      <c r="D976" s="23"/>
      <c r="E976" s="23"/>
      <c r="F976" s="23"/>
      <c r="G976" s="23"/>
      <c r="H976" s="23"/>
      <c r="I976" s="23"/>
      <c r="J976" s="23"/>
      <c r="K976" s="23"/>
      <c r="L976" s="23"/>
      <c r="M976" s="23"/>
      <c r="N976" s="23"/>
      <c r="O976" s="23"/>
      <c r="P976" s="23"/>
      <c r="Q976" s="23"/>
      <c r="R976" s="23"/>
      <c r="S976" s="23"/>
    </row>
    <row r="977" spans="1:19">
      <c r="A977" s="23"/>
      <c r="B977" s="23"/>
      <c r="C977" s="23"/>
      <c r="D977" s="23"/>
      <c r="E977" s="23"/>
      <c r="F977" s="23"/>
      <c r="G977" s="23"/>
      <c r="H977" s="23"/>
      <c r="I977" s="23"/>
      <c r="J977" s="23"/>
      <c r="K977" s="23"/>
      <c r="L977" s="23"/>
      <c r="M977" s="23"/>
      <c r="N977" s="23"/>
      <c r="O977" s="23"/>
      <c r="P977" s="23"/>
      <c r="Q977" s="23"/>
      <c r="R977" s="23"/>
      <c r="S977" s="23"/>
    </row>
    <row r="978" spans="1:19">
      <c r="A978" s="23"/>
      <c r="B978" s="23"/>
      <c r="C978" s="23"/>
      <c r="D978" s="23"/>
      <c r="E978" s="23"/>
      <c r="F978" s="23"/>
      <c r="G978" s="23"/>
      <c r="H978" s="23"/>
      <c r="I978" s="23"/>
      <c r="J978" s="23"/>
      <c r="K978" s="23"/>
      <c r="L978" s="23"/>
      <c r="M978" s="23"/>
      <c r="N978" s="23"/>
      <c r="O978" s="23"/>
      <c r="P978" s="23"/>
      <c r="Q978" s="23"/>
      <c r="R978" s="23"/>
      <c r="S978" s="23"/>
    </row>
    <row r="979" spans="1:19">
      <c r="A979" s="23"/>
      <c r="B979" s="23"/>
      <c r="C979" s="23"/>
      <c r="D979" s="23"/>
      <c r="E979" s="23"/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</row>
    <row r="980" spans="1:19">
      <c r="A980" s="23"/>
      <c r="B980" s="23"/>
      <c r="C980" s="23"/>
      <c r="D980" s="23"/>
      <c r="E980" s="23"/>
      <c r="F980" s="23"/>
      <c r="G980" s="23"/>
      <c r="H980" s="23"/>
      <c r="I980" s="23"/>
      <c r="J980" s="23"/>
      <c r="K980" s="23"/>
      <c r="L980" s="23"/>
      <c r="M980" s="23"/>
      <c r="N980" s="23"/>
      <c r="O980" s="23"/>
      <c r="P980" s="23"/>
      <c r="Q980" s="23"/>
      <c r="R980" s="23"/>
      <c r="S980" s="23"/>
    </row>
    <row r="981" spans="1:19">
      <c r="A981" s="23"/>
      <c r="B981" s="23"/>
      <c r="C981" s="23"/>
      <c r="D981" s="23"/>
      <c r="E981" s="23"/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</row>
    <row r="982" spans="1:19">
      <c r="A982" s="23"/>
      <c r="B982" s="23"/>
      <c r="C982" s="23"/>
      <c r="D982" s="23"/>
      <c r="E982" s="23"/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</row>
    <row r="983" spans="1:19">
      <c r="A983" s="23"/>
      <c r="B983" s="23"/>
      <c r="C983" s="23"/>
      <c r="D983" s="23"/>
      <c r="E983" s="23"/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</row>
    <row r="984" spans="1:19">
      <c r="A984" s="23"/>
      <c r="B984" s="23"/>
      <c r="C984" s="23"/>
      <c r="D984" s="23"/>
      <c r="E984" s="23"/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</row>
    <row r="985" spans="1:19">
      <c r="A985" s="23"/>
      <c r="B985" s="23"/>
      <c r="C985" s="23"/>
      <c r="D985" s="23"/>
      <c r="E985" s="23"/>
      <c r="F985" s="23"/>
      <c r="G985" s="23"/>
      <c r="H985" s="23"/>
      <c r="I985" s="23"/>
      <c r="J985" s="23"/>
      <c r="K985" s="23"/>
      <c r="L985" s="23"/>
      <c r="M985" s="23"/>
      <c r="N985" s="23"/>
      <c r="O985" s="23"/>
      <c r="P985" s="23"/>
      <c r="Q985" s="23"/>
      <c r="R985" s="23"/>
      <c r="S985" s="23"/>
    </row>
    <row r="986" spans="1:19">
      <c r="A986" s="23"/>
      <c r="B986" s="23"/>
      <c r="C986" s="23"/>
      <c r="D986" s="23"/>
      <c r="E986" s="23"/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23"/>
    </row>
    <row r="987" spans="1:19">
      <c r="A987" s="23"/>
      <c r="B987" s="23"/>
      <c r="C987" s="23"/>
      <c r="D987" s="23"/>
      <c r="E987" s="23"/>
      <c r="F987" s="23"/>
      <c r="G987" s="23"/>
      <c r="H987" s="23"/>
      <c r="I987" s="23"/>
      <c r="J987" s="23"/>
      <c r="K987" s="23"/>
      <c r="L987" s="23"/>
      <c r="M987" s="23"/>
      <c r="N987" s="23"/>
      <c r="O987" s="23"/>
      <c r="P987" s="23"/>
      <c r="Q987" s="23"/>
      <c r="R987" s="23"/>
      <c r="S987" s="23"/>
    </row>
    <row r="988" spans="1:19">
      <c r="A988" s="23"/>
      <c r="B988" s="23"/>
      <c r="C988" s="23"/>
      <c r="D988" s="23"/>
      <c r="E988" s="23"/>
      <c r="F988" s="23"/>
      <c r="G988" s="23"/>
      <c r="H988" s="23"/>
      <c r="I988" s="23"/>
      <c r="J988" s="23"/>
      <c r="K988" s="23"/>
      <c r="L988" s="23"/>
      <c r="M988" s="23"/>
      <c r="N988" s="23"/>
      <c r="O988" s="23"/>
      <c r="P988" s="23"/>
      <c r="Q988" s="23"/>
      <c r="R988" s="23"/>
      <c r="S988" s="23"/>
    </row>
    <row r="989" spans="1:19">
      <c r="A989" s="23"/>
      <c r="B989" s="23"/>
      <c r="C989" s="23"/>
      <c r="D989" s="23"/>
      <c r="E989" s="23"/>
      <c r="F989" s="23"/>
      <c r="G989" s="23"/>
      <c r="H989" s="23"/>
      <c r="I989" s="23"/>
      <c r="J989" s="23"/>
      <c r="K989" s="23"/>
      <c r="L989" s="23"/>
      <c r="M989" s="23"/>
      <c r="N989" s="23"/>
      <c r="O989" s="23"/>
      <c r="P989" s="23"/>
      <c r="Q989" s="23"/>
      <c r="R989" s="23"/>
      <c r="S989" s="23"/>
    </row>
    <row r="990" spans="1:19">
      <c r="A990" s="23"/>
      <c r="B990" s="23"/>
      <c r="C990" s="23"/>
      <c r="D990" s="23"/>
      <c r="E990" s="23"/>
      <c r="F990" s="23"/>
      <c r="G990" s="23"/>
      <c r="H990" s="23"/>
      <c r="I990" s="23"/>
      <c r="J990" s="23"/>
      <c r="K990" s="23"/>
      <c r="L990" s="23"/>
      <c r="M990" s="23"/>
      <c r="N990" s="23"/>
      <c r="O990" s="23"/>
      <c r="P990" s="23"/>
      <c r="Q990" s="23"/>
      <c r="R990" s="23"/>
      <c r="S990" s="23"/>
    </row>
    <row r="991" spans="1:19">
      <c r="A991" s="23"/>
      <c r="B991" s="23"/>
      <c r="C991" s="23"/>
      <c r="D991" s="23"/>
      <c r="E991" s="23"/>
      <c r="F991" s="23"/>
      <c r="G991" s="23"/>
      <c r="H991" s="23"/>
      <c r="I991" s="23"/>
      <c r="J991" s="23"/>
      <c r="K991" s="23"/>
      <c r="L991" s="23"/>
      <c r="M991" s="23"/>
      <c r="N991" s="23"/>
      <c r="O991" s="23"/>
      <c r="P991" s="23"/>
      <c r="Q991" s="23"/>
      <c r="R991" s="23"/>
      <c r="S991" s="23"/>
    </row>
    <row r="992" spans="1:19">
      <c r="A992" s="23"/>
      <c r="B992" s="23"/>
      <c r="C992" s="23"/>
      <c r="D992" s="23"/>
      <c r="E992" s="23"/>
      <c r="F992" s="23"/>
      <c r="G992" s="23"/>
      <c r="H992" s="23"/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</row>
    <row r="993" spans="1:19">
      <c r="A993" s="23"/>
      <c r="B993" s="23"/>
      <c r="C993" s="23"/>
      <c r="D993" s="23"/>
      <c r="E993" s="23"/>
      <c r="F993" s="23"/>
      <c r="G993" s="23"/>
      <c r="H993" s="23"/>
      <c r="I993" s="23"/>
      <c r="J993" s="23"/>
      <c r="K993" s="23"/>
      <c r="L993" s="23"/>
      <c r="M993" s="23"/>
      <c r="N993" s="23"/>
      <c r="O993" s="23"/>
      <c r="P993" s="23"/>
      <c r="Q993" s="23"/>
      <c r="R993" s="23"/>
      <c r="S993" s="23"/>
    </row>
    <row r="994" spans="1:19">
      <c r="A994" s="23"/>
      <c r="B994" s="23"/>
      <c r="C994" s="23"/>
      <c r="D994" s="23"/>
      <c r="E994" s="23"/>
      <c r="F994" s="23"/>
      <c r="G994" s="23"/>
      <c r="H994" s="23"/>
      <c r="I994" s="23"/>
      <c r="J994" s="23"/>
      <c r="K994" s="23"/>
      <c r="L994" s="23"/>
      <c r="M994" s="23"/>
      <c r="N994" s="23"/>
      <c r="O994" s="23"/>
      <c r="P994" s="23"/>
      <c r="Q994" s="23"/>
      <c r="R994" s="23"/>
      <c r="S994" s="23"/>
    </row>
    <row r="995" spans="1:19">
      <c r="A995" s="23"/>
      <c r="B995" s="23"/>
      <c r="C995" s="23"/>
      <c r="D995" s="23"/>
      <c r="E995" s="23"/>
      <c r="F995" s="23"/>
      <c r="G995" s="23"/>
      <c r="H995" s="23"/>
      <c r="I995" s="23"/>
      <c r="J995" s="23"/>
      <c r="K995" s="23"/>
      <c r="L995" s="23"/>
      <c r="M995" s="23"/>
      <c r="N995" s="23"/>
      <c r="O995" s="23"/>
      <c r="P995" s="23"/>
      <c r="Q995" s="23"/>
      <c r="R995" s="23"/>
      <c r="S995" s="23"/>
    </row>
    <row r="996" spans="1:19">
      <c r="A996" s="23"/>
      <c r="B996" s="23"/>
      <c r="C996" s="23"/>
      <c r="D996" s="23"/>
      <c r="E996" s="23"/>
      <c r="F996" s="23"/>
      <c r="G996" s="23"/>
      <c r="H996" s="23"/>
      <c r="I996" s="23"/>
      <c r="J996" s="23"/>
      <c r="K996" s="23"/>
      <c r="L996" s="23"/>
      <c r="M996" s="23"/>
      <c r="N996" s="23"/>
      <c r="O996" s="23"/>
      <c r="P996" s="23"/>
      <c r="Q996" s="23"/>
      <c r="R996" s="23"/>
      <c r="S996" s="23"/>
    </row>
    <row r="997" spans="1:19">
      <c r="A997" s="23"/>
      <c r="B997" s="23"/>
      <c r="C997" s="23"/>
      <c r="D997" s="23"/>
      <c r="E997" s="23"/>
      <c r="F997" s="23"/>
      <c r="G997" s="23"/>
      <c r="H997" s="23"/>
      <c r="I997" s="23"/>
      <c r="J997" s="23"/>
      <c r="K997" s="23"/>
      <c r="L997" s="23"/>
      <c r="M997" s="23"/>
      <c r="N997" s="23"/>
      <c r="O997" s="23"/>
      <c r="P997" s="23"/>
      <c r="Q997" s="23"/>
      <c r="R997" s="23"/>
      <c r="S997" s="23"/>
    </row>
    <row r="998" spans="1:19">
      <c r="A998" s="23"/>
      <c r="B998" s="23"/>
      <c r="C998" s="23"/>
      <c r="D998" s="23"/>
      <c r="E998" s="23"/>
      <c r="F998" s="23"/>
      <c r="G998" s="23"/>
      <c r="H998" s="23"/>
      <c r="I998" s="23"/>
      <c r="J998" s="23"/>
      <c r="K998" s="23"/>
      <c r="L998" s="23"/>
      <c r="M998" s="23"/>
      <c r="N998" s="23"/>
      <c r="O998" s="23"/>
      <c r="P998" s="23"/>
      <c r="Q998" s="23"/>
      <c r="R998" s="23"/>
      <c r="S998" s="23"/>
    </row>
    <row r="999" spans="1:19">
      <c r="A999" s="23"/>
      <c r="B999" s="23"/>
      <c r="C999" s="23"/>
      <c r="D999" s="23"/>
      <c r="E999" s="23"/>
      <c r="F999" s="23"/>
      <c r="G999" s="23"/>
      <c r="H999" s="23"/>
      <c r="I999" s="23"/>
      <c r="J999" s="23"/>
      <c r="K999" s="23"/>
      <c r="L999" s="23"/>
      <c r="M999" s="23"/>
      <c r="N999" s="23"/>
      <c r="O999" s="23"/>
      <c r="P999" s="23"/>
      <c r="Q999" s="23"/>
      <c r="R999" s="23"/>
      <c r="S999" s="23"/>
    </row>
    <row r="1000" spans="1:19">
      <c r="A1000" s="23"/>
      <c r="B1000" s="23"/>
      <c r="C1000" s="23"/>
      <c r="D1000" s="23"/>
      <c r="E1000" s="23"/>
      <c r="F1000" s="23"/>
      <c r="G1000" s="23"/>
      <c r="H1000" s="23"/>
      <c r="I1000" s="23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outlinePr summaryBelow="0" summaryRight="0"/>
  </sheetPr>
  <dimension ref="A1:S1000"/>
  <sheetViews>
    <sheetView workbookViewId="0"/>
  </sheetViews>
  <sheetFormatPr baseColWidth="10" defaultColWidth="11.1640625" defaultRowHeight="15" customHeight="1"/>
  <sheetData>
    <row r="1" spans="1:19">
      <c r="A1" s="23" t="str">
        <f ca="1">IFERROR(__xludf.DUMMYFUNCTION("IMPORTRANGE(""https://docs.google.com/spreadsheets/d/19z4KfFn2SBt4cvYzMyyJQyS3RWr2Q9HcG42gTyXbS9o/edit?gid=1856998972#gid=1856998972"",""01!A1:S"")"),"INDICADORES")</f>
        <v>INDICADORES</v>
      </c>
      <c r="B1" s="23" t="str">
        <f ca="1">IFERROR(__xludf.DUMMYFUNCTION("""COMPUTED_VALUE"""),"META ANUAL")</f>
        <v>META ANUAL</v>
      </c>
      <c r="C1" s="23" t="str">
        <f ca="1">IFERROR(__xludf.DUMMYFUNCTION("""COMPUTED_VALUE"""),"UNIDAD DE MEDIDA")</f>
        <v>UNIDAD DE MEDIDA</v>
      </c>
      <c r="D1" s="23" t="str">
        <f ca="1">IFERROR(__xludf.DUMMYFUNCTION("""COMPUTED_VALUE"""),"TIPO DE INDICADOR")</f>
        <v>TIPO DE INDICADOR</v>
      </c>
      <c r="E1" s="23" t="str">
        <f ca="1">IFERROR(__xludf.DUMMYFUNCTION("""COMPUTED_VALUE"""),"MEDIO DE VERIFICACION")</f>
        <v>MEDIO DE VERIFICACION</v>
      </c>
      <c r="F1" s="23" t="str">
        <f ca="1">IFERROR(__xludf.DUMMYFUNCTION("""COMPUTED_VALUE"""),"% AVANCE ")</f>
        <v xml:space="preserve">% AVANCE </v>
      </c>
      <c r="G1" s="23" t="str">
        <f ca="1">IFERROR(__xludf.DUMMYFUNCTION("""COMPUTED_VALUE"""),"OCTUBRE")</f>
        <v>OCTUBRE</v>
      </c>
      <c r="H1" s="23" t="str">
        <f ca="1">IFERROR(__xludf.DUMMYFUNCTION("""COMPUTED_VALUE"""),"NOVIEMBRE")</f>
        <v>NOVIEMBRE</v>
      </c>
      <c r="I1" s="23" t="str">
        <f ca="1">IFERROR(__xludf.DUMMYFUNCTION("""COMPUTED_VALUE"""),"DICIEMBRE")</f>
        <v>DICIEMBRE</v>
      </c>
      <c r="J1" s="23" t="str">
        <f ca="1">IFERROR(__xludf.DUMMYFUNCTION("""COMPUTED_VALUE"""),"ENERO ")</f>
        <v xml:space="preserve">ENERO </v>
      </c>
      <c r="K1" s="23" t="str">
        <f ca="1">IFERROR(__xludf.DUMMYFUNCTION("""COMPUTED_VALUE"""),"FEBRERO")</f>
        <v>FEBRERO</v>
      </c>
      <c r="L1" s="23" t="str">
        <f ca="1">IFERROR(__xludf.DUMMYFUNCTION("""COMPUTED_VALUE"""),"MARZO")</f>
        <v>MARZO</v>
      </c>
      <c r="M1" s="23" t="str">
        <f ca="1">IFERROR(__xludf.DUMMYFUNCTION("""COMPUTED_VALUE"""),"ABRIL")</f>
        <v>ABRIL</v>
      </c>
      <c r="N1" s="23" t="str">
        <f ca="1">IFERROR(__xludf.DUMMYFUNCTION("""COMPUTED_VALUE"""),"MAYO")</f>
        <v>MAYO</v>
      </c>
      <c r="O1" s="23" t="str">
        <f ca="1">IFERROR(__xludf.DUMMYFUNCTION("""COMPUTED_VALUE"""),"JUNIO")</f>
        <v>JUNIO</v>
      </c>
      <c r="P1" s="23" t="str">
        <f ca="1">IFERROR(__xludf.DUMMYFUNCTION("""COMPUTED_VALUE"""),"JULIO")</f>
        <v>JULIO</v>
      </c>
      <c r="Q1" s="23" t="str">
        <f ca="1">IFERROR(__xludf.DUMMYFUNCTION("""COMPUTED_VALUE"""),"AGOSTO")</f>
        <v>AGOSTO</v>
      </c>
      <c r="R1" s="23" t="str">
        <f ca="1">IFERROR(__xludf.DUMMYFUNCTION("""COMPUTED_VALUE"""),"SEPTIEMBRE")</f>
        <v>SEPTIEMBRE</v>
      </c>
      <c r="S1" s="23" t="str">
        <f ca="1">IFERROR(__xludf.DUMMYFUNCTION("""COMPUTED_VALUE"""),"SUMATORIA TOTAL")</f>
        <v>SUMATORIA TOTAL</v>
      </c>
    </row>
    <row r="2" spans="1:19">
      <c r="A2" s="23" t="str">
        <f ca="1">IFERROR(__xludf.DUMMYFUNCTION("""COMPUTED_VALUE"""),"EVENTOS QUE PROMUEVAN EL DESARROLLO ECONOMICO O RURAL DEL MUNICIPIO ")</f>
        <v xml:space="preserve">EVENTOS QUE PROMUEVAN EL DESARROLLO ECONOMICO O RURAL DEL MUNICIPIO </v>
      </c>
      <c r="B2" s="23">
        <f ca="1">IFERROR(__xludf.DUMMYFUNCTION("""COMPUTED_VALUE"""),1)</f>
        <v>1</v>
      </c>
      <c r="C2" s="23"/>
      <c r="D2" s="23" t="str">
        <f ca="1">IFERROR(__xludf.DUMMYFUNCTION("""COMPUTED_VALUE"""),"ASCENDENTE")</f>
        <v>ASCENDENTE</v>
      </c>
      <c r="E2" s="23" t="str">
        <f ca="1">IFERROR(__xludf.DUMMYFUNCTION("""COMPUTED_VALUE"""),"BITACORA OPERATIVA")</f>
        <v>BITACORA OPERATIVA</v>
      </c>
      <c r="F2" s="23">
        <f ca="1">IFERROR(__xludf.DUMMYFUNCTION("""COMPUTED_VALUE"""),0)</f>
        <v>0</v>
      </c>
      <c r="G2" s="23">
        <f ca="1">IFERROR(__xludf.DUMMYFUNCTION("""COMPUTED_VALUE"""),0)</f>
        <v>0</v>
      </c>
      <c r="H2" s="23">
        <f ca="1">IFERROR(__xludf.DUMMYFUNCTION("""COMPUTED_VALUE"""),0)</f>
        <v>0</v>
      </c>
      <c r="I2" s="23">
        <f ca="1">IFERROR(__xludf.DUMMYFUNCTION("""COMPUTED_VALUE"""),0)</f>
        <v>0</v>
      </c>
      <c r="J2" s="23">
        <f ca="1">IFERROR(__xludf.DUMMYFUNCTION("""COMPUTED_VALUE"""),0)</f>
        <v>0</v>
      </c>
      <c r="K2" s="23">
        <f ca="1">IFERROR(__xludf.DUMMYFUNCTION("""COMPUTED_VALUE"""),0)</f>
        <v>0</v>
      </c>
      <c r="L2" s="23">
        <f ca="1">IFERROR(__xludf.DUMMYFUNCTION("""COMPUTED_VALUE"""),0)</f>
        <v>0</v>
      </c>
      <c r="M2" s="23">
        <f ca="1">IFERROR(__xludf.DUMMYFUNCTION("""COMPUTED_VALUE"""),0)</f>
        <v>0</v>
      </c>
      <c r="N2" s="23">
        <f ca="1">IFERROR(__xludf.DUMMYFUNCTION("""COMPUTED_VALUE"""),0)</f>
        <v>0</v>
      </c>
      <c r="O2" s="23">
        <f ca="1">IFERROR(__xludf.DUMMYFUNCTION("""COMPUTED_VALUE"""),0)</f>
        <v>0</v>
      </c>
      <c r="P2" s="23">
        <f ca="1">IFERROR(__xludf.DUMMYFUNCTION("""COMPUTED_VALUE"""),0)</f>
        <v>0</v>
      </c>
      <c r="Q2" s="23">
        <f ca="1">IFERROR(__xludf.DUMMYFUNCTION("""COMPUTED_VALUE"""),0)</f>
        <v>0</v>
      </c>
      <c r="R2" s="23">
        <f ca="1">IFERROR(__xludf.DUMMYFUNCTION("""COMPUTED_VALUE"""),0)</f>
        <v>0</v>
      </c>
      <c r="S2" s="23">
        <f ca="1">IFERROR(__xludf.DUMMYFUNCTION("""COMPUTED_VALUE"""),0)</f>
        <v>0</v>
      </c>
    </row>
    <row r="3" spans="1:19">
      <c r="A3" s="23" t="str">
        <f ca="1">IFERROR(__xludf.DUMMYFUNCTION("""COMPUTED_VALUE"""),"ASISTENTES TOTALES AL EVENTO")</f>
        <v>ASISTENTES TOTALES AL EVENTO</v>
      </c>
      <c r="B3" s="23">
        <f ca="1">IFERROR(__xludf.DUMMYFUNCTION("""COMPUTED_VALUE"""),1)</f>
        <v>1</v>
      </c>
      <c r="C3" s="23"/>
      <c r="D3" s="23" t="str">
        <f ca="1">IFERROR(__xludf.DUMMYFUNCTION("""COMPUTED_VALUE"""),"ASCENDENTE")</f>
        <v>ASCENDENTE</v>
      </c>
      <c r="E3" s="23" t="str">
        <f ca="1">IFERROR(__xludf.DUMMYFUNCTION("""COMPUTED_VALUE"""),"BITACORA OPERATIVA")</f>
        <v>BITACORA OPERATIVA</v>
      </c>
      <c r="F3" s="23">
        <f ca="1">IFERROR(__xludf.DUMMYFUNCTION("""COMPUTED_VALUE"""),0)</f>
        <v>0</v>
      </c>
      <c r="G3" s="23">
        <f ca="1">IFERROR(__xludf.DUMMYFUNCTION("""COMPUTED_VALUE"""),0)</f>
        <v>0</v>
      </c>
      <c r="H3" s="23">
        <f ca="1">IFERROR(__xludf.DUMMYFUNCTION("""COMPUTED_VALUE"""),0)</f>
        <v>0</v>
      </c>
      <c r="I3" s="23">
        <f ca="1">IFERROR(__xludf.DUMMYFUNCTION("""COMPUTED_VALUE"""),0)</f>
        <v>0</v>
      </c>
      <c r="J3" s="23">
        <f ca="1">IFERROR(__xludf.DUMMYFUNCTION("""COMPUTED_VALUE"""),0)</f>
        <v>0</v>
      </c>
      <c r="K3" s="23">
        <f ca="1">IFERROR(__xludf.DUMMYFUNCTION("""COMPUTED_VALUE"""),0)</f>
        <v>0</v>
      </c>
      <c r="L3" s="23">
        <f ca="1">IFERROR(__xludf.DUMMYFUNCTION("""COMPUTED_VALUE"""),0)</f>
        <v>0</v>
      </c>
      <c r="M3" s="23">
        <f ca="1">IFERROR(__xludf.DUMMYFUNCTION("""COMPUTED_VALUE"""),0)</f>
        <v>0</v>
      </c>
      <c r="N3" s="23">
        <f ca="1">IFERROR(__xludf.DUMMYFUNCTION("""COMPUTED_VALUE"""),0)</f>
        <v>0</v>
      </c>
      <c r="O3" s="23">
        <f ca="1">IFERROR(__xludf.DUMMYFUNCTION("""COMPUTED_VALUE"""),0)</f>
        <v>0</v>
      </c>
      <c r="P3" s="23">
        <f ca="1">IFERROR(__xludf.DUMMYFUNCTION("""COMPUTED_VALUE"""),0)</f>
        <v>0</v>
      </c>
      <c r="Q3" s="23">
        <f ca="1">IFERROR(__xludf.DUMMYFUNCTION("""COMPUTED_VALUE"""),0)</f>
        <v>0</v>
      </c>
      <c r="R3" s="23">
        <f ca="1">IFERROR(__xludf.DUMMYFUNCTION("""COMPUTED_VALUE"""),0)</f>
        <v>0</v>
      </c>
      <c r="S3" s="23">
        <f ca="1">IFERROR(__xludf.DUMMYFUNCTION("""COMPUTED_VALUE"""),0)</f>
        <v>0</v>
      </c>
    </row>
    <row r="4" spans="1:19">
      <c r="A4" s="23" t="str">
        <f ca="1">IFERROR(__xludf.DUMMYFUNCTION("""COMPUTED_VALUE"""),"EMPRESAS BENEFICIADAS CON LOS EVENTOS ")</f>
        <v xml:space="preserve">EMPRESAS BENEFICIADAS CON LOS EVENTOS </v>
      </c>
      <c r="B4" s="23">
        <f ca="1">IFERROR(__xludf.DUMMYFUNCTION("""COMPUTED_VALUE"""),1)</f>
        <v>1</v>
      </c>
      <c r="C4" s="23"/>
      <c r="D4" s="23" t="str">
        <f ca="1">IFERROR(__xludf.DUMMYFUNCTION("""COMPUTED_VALUE"""),"ASCENDENTE")</f>
        <v>ASCENDENTE</v>
      </c>
      <c r="E4" s="23" t="str">
        <f ca="1">IFERROR(__xludf.DUMMYFUNCTION("""COMPUTED_VALUE"""),"BITACORA OPERATIVA")</f>
        <v>BITACORA OPERATIVA</v>
      </c>
      <c r="F4" s="23">
        <f ca="1">IFERROR(__xludf.DUMMYFUNCTION("""COMPUTED_VALUE"""),0)</f>
        <v>0</v>
      </c>
      <c r="G4" s="23">
        <f ca="1">IFERROR(__xludf.DUMMYFUNCTION("""COMPUTED_VALUE"""),0)</f>
        <v>0</v>
      </c>
      <c r="H4" s="23">
        <f ca="1">IFERROR(__xludf.DUMMYFUNCTION("""COMPUTED_VALUE"""),0)</f>
        <v>0</v>
      </c>
      <c r="I4" s="23">
        <f ca="1">IFERROR(__xludf.DUMMYFUNCTION("""COMPUTED_VALUE"""),0)</f>
        <v>0</v>
      </c>
      <c r="J4" s="23">
        <f ca="1">IFERROR(__xludf.DUMMYFUNCTION("""COMPUTED_VALUE"""),0)</f>
        <v>0</v>
      </c>
      <c r="K4" s="23">
        <f ca="1">IFERROR(__xludf.DUMMYFUNCTION("""COMPUTED_VALUE"""),0)</f>
        <v>0</v>
      </c>
      <c r="L4" s="23">
        <f ca="1">IFERROR(__xludf.DUMMYFUNCTION("""COMPUTED_VALUE"""),0)</f>
        <v>0</v>
      </c>
      <c r="M4" s="23">
        <f ca="1">IFERROR(__xludf.DUMMYFUNCTION("""COMPUTED_VALUE"""),0)</f>
        <v>0</v>
      </c>
      <c r="N4" s="23">
        <f ca="1">IFERROR(__xludf.DUMMYFUNCTION("""COMPUTED_VALUE"""),0)</f>
        <v>0</v>
      </c>
      <c r="O4" s="23">
        <f ca="1">IFERROR(__xludf.DUMMYFUNCTION("""COMPUTED_VALUE"""),0)</f>
        <v>0</v>
      </c>
      <c r="P4" s="23">
        <f ca="1">IFERROR(__xludf.DUMMYFUNCTION("""COMPUTED_VALUE"""),0)</f>
        <v>0</v>
      </c>
      <c r="Q4" s="23">
        <f ca="1">IFERROR(__xludf.DUMMYFUNCTION("""COMPUTED_VALUE"""),0)</f>
        <v>0</v>
      </c>
      <c r="R4" s="23">
        <f ca="1">IFERROR(__xludf.DUMMYFUNCTION("""COMPUTED_VALUE"""),0)</f>
        <v>0</v>
      </c>
      <c r="S4" s="23">
        <f ca="1">IFERROR(__xludf.DUMMYFUNCTION("""COMPUTED_VALUE"""),0)</f>
        <v>0</v>
      </c>
    </row>
    <row r="5" spans="1:19">
      <c r="A5" s="23" t="str">
        <f ca="1">IFERROR(__xludf.DUMMYFUNCTION("""COMPUTED_VALUE"""),"CAPACITACIONES / TALLERES DE DESARROLLO ECONOMICO")</f>
        <v>CAPACITACIONES / TALLERES DE DESARROLLO ECONOMICO</v>
      </c>
      <c r="B5" s="23">
        <f ca="1">IFERROR(__xludf.DUMMYFUNCTION("""COMPUTED_VALUE"""),1)</f>
        <v>1</v>
      </c>
      <c r="C5" s="23"/>
      <c r="D5" s="23" t="str">
        <f ca="1">IFERROR(__xludf.DUMMYFUNCTION("""COMPUTED_VALUE"""),"ASCENDENTE")</f>
        <v>ASCENDENTE</v>
      </c>
      <c r="E5" s="23" t="str">
        <f ca="1">IFERROR(__xludf.DUMMYFUNCTION("""COMPUTED_VALUE"""),"BITACORA OPERATIVA")</f>
        <v>BITACORA OPERATIVA</v>
      </c>
      <c r="F5" s="23">
        <f ca="1">IFERROR(__xludf.DUMMYFUNCTION("""COMPUTED_VALUE"""),100)</f>
        <v>100</v>
      </c>
      <c r="G5" s="23">
        <f ca="1">IFERROR(__xludf.DUMMYFUNCTION("""COMPUTED_VALUE"""),0)</f>
        <v>0</v>
      </c>
      <c r="H5" s="23">
        <f ca="1">IFERROR(__xludf.DUMMYFUNCTION("""COMPUTED_VALUE"""),0)</f>
        <v>0</v>
      </c>
      <c r="I5" s="23">
        <f ca="1">IFERROR(__xludf.DUMMYFUNCTION("""COMPUTED_VALUE"""),0)</f>
        <v>0</v>
      </c>
      <c r="J5" s="23">
        <f ca="1">IFERROR(__xludf.DUMMYFUNCTION("""COMPUTED_VALUE"""),0)</f>
        <v>0</v>
      </c>
      <c r="K5" s="23">
        <f ca="1">IFERROR(__xludf.DUMMYFUNCTION("""COMPUTED_VALUE"""),1)</f>
        <v>1</v>
      </c>
      <c r="L5" s="23">
        <f ca="1">IFERROR(__xludf.DUMMYFUNCTION("""COMPUTED_VALUE"""),0)</f>
        <v>0</v>
      </c>
      <c r="M5" s="23">
        <f ca="1">IFERROR(__xludf.DUMMYFUNCTION("""COMPUTED_VALUE"""),0)</f>
        <v>0</v>
      </c>
      <c r="N5" s="23">
        <f ca="1">IFERROR(__xludf.DUMMYFUNCTION("""COMPUTED_VALUE"""),0)</f>
        <v>0</v>
      </c>
      <c r="O5" s="23">
        <f ca="1">IFERROR(__xludf.DUMMYFUNCTION("""COMPUTED_VALUE"""),0)</f>
        <v>0</v>
      </c>
      <c r="P5" s="23">
        <f ca="1">IFERROR(__xludf.DUMMYFUNCTION("""COMPUTED_VALUE"""),0)</f>
        <v>0</v>
      </c>
      <c r="Q5" s="23">
        <f ca="1">IFERROR(__xludf.DUMMYFUNCTION("""COMPUTED_VALUE"""),0)</f>
        <v>0</v>
      </c>
      <c r="R5" s="23">
        <f ca="1">IFERROR(__xludf.DUMMYFUNCTION("""COMPUTED_VALUE"""),0)</f>
        <v>0</v>
      </c>
      <c r="S5" s="23">
        <f ca="1">IFERROR(__xludf.DUMMYFUNCTION("""COMPUTED_VALUE"""),1)</f>
        <v>1</v>
      </c>
    </row>
    <row r="6" spans="1:19">
      <c r="A6" s="23" t="str">
        <f ca="1">IFERROR(__xludf.DUMMYFUNCTION("""COMPUTED_VALUE"""),"ASISTENTES TOTALES A LAS CAPACITACIONES")</f>
        <v>ASISTENTES TOTALES A LAS CAPACITACIONES</v>
      </c>
      <c r="B6" s="23">
        <f ca="1">IFERROR(__xludf.DUMMYFUNCTION("""COMPUTED_VALUE"""),1)</f>
        <v>1</v>
      </c>
      <c r="C6" s="23"/>
      <c r="D6" s="23" t="str">
        <f ca="1">IFERROR(__xludf.DUMMYFUNCTION("""COMPUTED_VALUE"""),"ASCENDENTE")</f>
        <v>ASCENDENTE</v>
      </c>
      <c r="E6" s="23" t="str">
        <f ca="1">IFERROR(__xludf.DUMMYFUNCTION("""COMPUTED_VALUE"""),"BITACORA OPERATIVA")</f>
        <v>BITACORA OPERATIVA</v>
      </c>
      <c r="F6" s="23">
        <f ca="1">IFERROR(__xludf.DUMMYFUNCTION("""COMPUTED_VALUE"""),4000)</f>
        <v>4000</v>
      </c>
      <c r="G6" s="23">
        <f ca="1">IFERROR(__xludf.DUMMYFUNCTION("""COMPUTED_VALUE"""),0)</f>
        <v>0</v>
      </c>
      <c r="H6" s="23">
        <f ca="1">IFERROR(__xludf.DUMMYFUNCTION("""COMPUTED_VALUE"""),0)</f>
        <v>0</v>
      </c>
      <c r="I6" s="23">
        <f ca="1">IFERROR(__xludf.DUMMYFUNCTION("""COMPUTED_VALUE"""),0)</f>
        <v>0</v>
      </c>
      <c r="J6" s="23">
        <f ca="1">IFERROR(__xludf.DUMMYFUNCTION("""COMPUTED_VALUE"""),0)</f>
        <v>0</v>
      </c>
      <c r="K6" s="23">
        <f ca="1">IFERROR(__xludf.DUMMYFUNCTION("""COMPUTED_VALUE"""),40)</f>
        <v>40</v>
      </c>
      <c r="L6" s="23">
        <f ca="1">IFERROR(__xludf.DUMMYFUNCTION("""COMPUTED_VALUE"""),0)</f>
        <v>0</v>
      </c>
      <c r="M6" s="23">
        <f ca="1">IFERROR(__xludf.DUMMYFUNCTION("""COMPUTED_VALUE"""),0)</f>
        <v>0</v>
      </c>
      <c r="N6" s="23">
        <f ca="1">IFERROR(__xludf.DUMMYFUNCTION("""COMPUTED_VALUE"""),0)</f>
        <v>0</v>
      </c>
      <c r="O6" s="23">
        <f ca="1">IFERROR(__xludf.DUMMYFUNCTION("""COMPUTED_VALUE"""),0)</f>
        <v>0</v>
      </c>
      <c r="P6" s="23">
        <f ca="1">IFERROR(__xludf.DUMMYFUNCTION("""COMPUTED_VALUE"""),0)</f>
        <v>0</v>
      </c>
      <c r="Q6" s="23">
        <f ca="1">IFERROR(__xludf.DUMMYFUNCTION("""COMPUTED_VALUE"""),0)</f>
        <v>0</v>
      </c>
      <c r="R6" s="23">
        <f ca="1">IFERROR(__xludf.DUMMYFUNCTION("""COMPUTED_VALUE"""),0)</f>
        <v>0</v>
      </c>
      <c r="S6" s="23">
        <f ca="1">IFERROR(__xludf.DUMMYFUNCTION("""COMPUTED_VALUE"""),40)</f>
        <v>40</v>
      </c>
    </row>
    <row r="7" spans="1:19">
      <c r="A7" s="23" t="str">
        <f ca="1">IFERROR(__xludf.DUMMYFUNCTION("""COMPUTED_VALUE"""),"PROYECTOS PARA PROMOVER EL DESARROLLO ECONOMICO")</f>
        <v>PROYECTOS PARA PROMOVER EL DESARROLLO ECONOMICO</v>
      </c>
      <c r="B7" s="23">
        <f ca="1">IFERROR(__xludf.DUMMYFUNCTION("""COMPUTED_VALUE"""),1)</f>
        <v>1</v>
      </c>
      <c r="C7" s="23"/>
      <c r="D7" s="23" t="str">
        <f ca="1">IFERROR(__xludf.DUMMYFUNCTION("""COMPUTED_VALUE"""),"ASCENDENTE")</f>
        <v>ASCENDENTE</v>
      </c>
      <c r="E7" s="23" t="str">
        <f ca="1">IFERROR(__xludf.DUMMYFUNCTION("""COMPUTED_VALUE"""),"BITACORA OPERATIVA")</f>
        <v>BITACORA OPERATIVA</v>
      </c>
      <c r="F7" s="23">
        <f ca="1">IFERROR(__xludf.DUMMYFUNCTION("""COMPUTED_VALUE"""),100)</f>
        <v>100</v>
      </c>
      <c r="G7" s="23">
        <f ca="1">IFERROR(__xludf.DUMMYFUNCTION("""COMPUTED_VALUE"""),0)</f>
        <v>0</v>
      </c>
      <c r="H7" s="23">
        <f ca="1">IFERROR(__xludf.DUMMYFUNCTION("""COMPUTED_VALUE"""),0)</f>
        <v>0</v>
      </c>
      <c r="I7" s="23">
        <f ca="1">IFERROR(__xludf.DUMMYFUNCTION("""COMPUTED_VALUE"""),0)</f>
        <v>0</v>
      </c>
      <c r="J7" s="23">
        <f ca="1">IFERROR(__xludf.DUMMYFUNCTION("""COMPUTED_VALUE"""),0)</f>
        <v>0</v>
      </c>
      <c r="K7" s="23">
        <f ca="1">IFERROR(__xludf.DUMMYFUNCTION("""COMPUTED_VALUE"""),1)</f>
        <v>1</v>
      </c>
      <c r="L7" s="23">
        <f ca="1">IFERROR(__xludf.DUMMYFUNCTION("""COMPUTED_VALUE"""),0)</f>
        <v>0</v>
      </c>
      <c r="M7" s="23">
        <f ca="1">IFERROR(__xludf.DUMMYFUNCTION("""COMPUTED_VALUE"""),0)</f>
        <v>0</v>
      </c>
      <c r="N7" s="23">
        <f ca="1">IFERROR(__xludf.DUMMYFUNCTION("""COMPUTED_VALUE"""),0)</f>
        <v>0</v>
      </c>
      <c r="O7" s="23">
        <f ca="1">IFERROR(__xludf.DUMMYFUNCTION("""COMPUTED_VALUE"""),0)</f>
        <v>0</v>
      </c>
      <c r="P7" s="23">
        <f ca="1">IFERROR(__xludf.DUMMYFUNCTION("""COMPUTED_VALUE"""),0)</f>
        <v>0</v>
      </c>
      <c r="Q7" s="23">
        <f ca="1">IFERROR(__xludf.DUMMYFUNCTION("""COMPUTED_VALUE"""),0)</f>
        <v>0</v>
      </c>
      <c r="R7" s="23">
        <f ca="1">IFERROR(__xludf.DUMMYFUNCTION("""COMPUTED_VALUE"""),0)</f>
        <v>0</v>
      </c>
      <c r="S7" s="23">
        <f ca="1">IFERROR(__xludf.DUMMYFUNCTION("""COMPUTED_VALUE"""),1)</f>
        <v>1</v>
      </c>
    </row>
    <row r="8" spans="1:19">
      <c r="A8" s="23" t="str">
        <f ca="1">IFERROR(__xludf.DUMMYFUNCTION("""COMPUTED_VALUE"""),"SERVICIOS Y/O PROCEDIMIENTOS")</f>
        <v>SERVICIOS Y/O PROCEDIMIENTOS</v>
      </c>
      <c r="B8" s="23">
        <f ca="1">IFERROR(__xludf.DUMMYFUNCTION("""COMPUTED_VALUE"""),1)</f>
        <v>1</v>
      </c>
      <c r="C8" s="23"/>
      <c r="D8" s="23" t="str">
        <f ca="1">IFERROR(__xludf.DUMMYFUNCTION("""COMPUTED_VALUE"""),"ASCENDENTE")</f>
        <v>ASCENDENTE</v>
      </c>
      <c r="E8" s="23" t="str">
        <f ca="1">IFERROR(__xludf.DUMMYFUNCTION("""COMPUTED_VALUE"""),"BITACORA OPERATIVA")</f>
        <v>BITACORA OPERATIVA</v>
      </c>
      <c r="F8" s="23">
        <f ca="1">IFERROR(__xludf.DUMMYFUNCTION("""COMPUTED_VALUE"""),9400)</f>
        <v>9400</v>
      </c>
      <c r="G8" s="23">
        <f ca="1">IFERROR(__xludf.DUMMYFUNCTION("""COMPUTED_VALUE"""),0)</f>
        <v>0</v>
      </c>
      <c r="H8" s="23">
        <f ca="1">IFERROR(__xludf.DUMMYFUNCTION("""COMPUTED_VALUE"""),0)</f>
        <v>0</v>
      </c>
      <c r="I8" s="23">
        <f ca="1">IFERROR(__xludf.DUMMYFUNCTION("""COMPUTED_VALUE"""),0)</f>
        <v>0</v>
      </c>
      <c r="J8" s="23">
        <f ca="1">IFERROR(__xludf.DUMMYFUNCTION("""COMPUTED_VALUE"""),0)</f>
        <v>0</v>
      </c>
      <c r="K8" s="23">
        <f ca="1">IFERROR(__xludf.DUMMYFUNCTION("""COMPUTED_VALUE"""),94)</f>
        <v>94</v>
      </c>
      <c r="L8" s="23">
        <f ca="1">IFERROR(__xludf.DUMMYFUNCTION("""COMPUTED_VALUE"""),0)</f>
        <v>0</v>
      </c>
      <c r="M8" s="23">
        <f ca="1">IFERROR(__xludf.DUMMYFUNCTION("""COMPUTED_VALUE"""),0)</f>
        <v>0</v>
      </c>
      <c r="N8" s="23">
        <f ca="1">IFERROR(__xludf.DUMMYFUNCTION("""COMPUTED_VALUE"""),0)</f>
        <v>0</v>
      </c>
      <c r="O8" s="23">
        <f ca="1">IFERROR(__xludf.DUMMYFUNCTION("""COMPUTED_VALUE"""),0)</f>
        <v>0</v>
      </c>
      <c r="P8" s="23">
        <f ca="1">IFERROR(__xludf.DUMMYFUNCTION("""COMPUTED_VALUE"""),0)</f>
        <v>0</v>
      </c>
      <c r="Q8" s="23">
        <f ca="1">IFERROR(__xludf.DUMMYFUNCTION("""COMPUTED_VALUE"""),0)</f>
        <v>0</v>
      </c>
      <c r="R8" s="23">
        <f ca="1">IFERROR(__xludf.DUMMYFUNCTION("""COMPUTED_VALUE"""),0)</f>
        <v>0</v>
      </c>
      <c r="S8" s="23">
        <f ca="1">IFERROR(__xludf.DUMMYFUNCTION("""COMPUTED_VALUE"""),94)</f>
        <v>94</v>
      </c>
    </row>
    <row r="9" spans="1:19">
      <c r="A9" s="23" t="str">
        <f ca="1">IFERROR(__xludf.DUMMYFUNCTION("""COMPUTED_VALUE"""),"REUNIONES CON EMPRENDEDORES Y/O EMPRESARIOS PARA PROMOVER LA ECONOMIA   ")</f>
        <v xml:space="preserve">REUNIONES CON EMPRENDEDORES Y/O EMPRESARIOS PARA PROMOVER LA ECONOMIA   </v>
      </c>
      <c r="B9" s="23">
        <f ca="1">IFERROR(__xludf.DUMMYFUNCTION("""COMPUTED_VALUE"""),1)</f>
        <v>1</v>
      </c>
      <c r="C9" s="23"/>
      <c r="D9" s="23" t="str">
        <f ca="1">IFERROR(__xludf.DUMMYFUNCTION("""COMPUTED_VALUE"""),"ASCENDENTE")</f>
        <v>ASCENDENTE</v>
      </c>
      <c r="E9" s="23" t="str">
        <f ca="1">IFERROR(__xludf.DUMMYFUNCTION("""COMPUTED_VALUE"""),"BITACORA OPERATIVA")</f>
        <v>BITACORA OPERATIVA</v>
      </c>
      <c r="F9" s="23">
        <f ca="1">IFERROR(__xludf.DUMMYFUNCTION("""COMPUTED_VALUE"""),9300)</f>
        <v>9300</v>
      </c>
      <c r="G9" s="23">
        <f ca="1">IFERROR(__xludf.DUMMYFUNCTION("""COMPUTED_VALUE"""),0)</f>
        <v>0</v>
      </c>
      <c r="H9" s="23">
        <f ca="1">IFERROR(__xludf.DUMMYFUNCTION("""COMPUTED_VALUE"""),0)</f>
        <v>0</v>
      </c>
      <c r="I9" s="23">
        <f ca="1">IFERROR(__xludf.DUMMYFUNCTION("""COMPUTED_VALUE"""),0)</f>
        <v>0</v>
      </c>
      <c r="J9" s="23">
        <f ca="1">IFERROR(__xludf.DUMMYFUNCTION("""COMPUTED_VALUE"""),0)</f>
        <v>0</v>
      </c>
      <c r="K9" s="23">
        <f ca="1">IFERROR(__xludf.DUMMYFUNCTION("""COMPUTED_VALUE"""),93)</f>
        <v>93</v>
      </c>
      <c r="L9" s="23">
        <f ca="1">IFERROR(__xludf.DUMMYFUNCTION("""COMPUTED_VALUE"""),0)</f>
        <v>0</v>
      </c>
      <c r="M9" s="23">
        <f ca="1">IFERROR(__xludf.DUMMYFUNCTION("""COMPUTED_VALUE"""),0)</f>
        <v>0</v>
      </c>
      <c r="N9" s="23">
        <f ca="1">IFERROR(__xludf.DUMMYFUNCTION("""COMPUTED_VALUE"""),0)</f>
        <v>0</v>
      </c>
      <c r="O9" s="23">
        <f ca="1">IFERROR(__xludf.DUMMYFUNCTION("""COMPUTED_VALUE"""),0)</f>
        <v>0</v>
      </c>
      <c r="P9" s="23">
        <f ca="1">IFERROR(__xludf.DUMMYFUNCTION("""COMPUTED_VALUE"""),0)</f>
        <v>0</v>
      </c>
      <c r="Q9" s="23">
        <f ca="1">IFERROR(__xludf.DUMMYFUNCTION("""COMPUTED_VALUE"""),0)</f>
        <v>0</v>
      </c>
      <c r="R9" s="23">
        <f ca="1">IFERROR(__xludf.DUMMYFUNCTION("""COMPUTED_VALUE"""),0)</f>
        <v>0</v>
      </c>
      <c r="S9" s="23">
        <f ca="1">IFERROR(__xludf.DUMMYFUNCTION("""COMPUTED_VALUE"""),93)</f>
        <v>93</v>
      </c>
    </row>
    <row r="10" spans="1:19">
      <c r="A10" s="23" t="str">
        <f ca="1">IFERROR(__xludf.DUMMYFUNCTION("""COMPUTED_VALUE"""),"ATENCION A PRODUCTORES")</f>
        <v>ATENCION A PRODUCTORES</v>
      </c>
      <c r="B10" s="23">
        <f ca="1">IFERROR(__xludf.DUMMYFUNCTION("""COMPUTED_VALUE"""),1)</f>
        <v>1</v>
      </c>
      <c r="C10" s="23"/>
      <c r="D10" s="23" t="str">
        <f ca="1">IFERROR(__xludf.DUMMYFUNCTION("""COMPUTED_VALUE"""),"ASCENDENTE")</f>
        <v>ASCENDENTE</v>
      </c>
      <c r="E10" s="23" t="str">
        <f ca="1">IFERROR(__xludf.DUMMYFUNCTION("""COMPUTED_VALUE"""),"BITACORA OPERATIVA")</f>
        <v>BITACORA OPERATIVA</v>
      </c>
      <c r="F10" s="23">
        <f ca="1">IFERROR(__xludf.DUMMYFUNCTION("""COMPUTED_VALUE"""),0)</f>
        <v>0</v>
      </c>
      <c r="G10" s="23">
        <f ca="1">IFERROR(__xludf.DUMMYFUNCTION("""COMPUTED_VALUE"""),0)</f>
        <v>0</v>
      </c>
      <c r="H10" s="23">
        <f ca="1">IFERROR(__xludf.DUMMYFUNCTION("""COMPUTED_VALUE"""),0)</f>
        <v>0</v>
      </c>
      <c r="I10" s="23">
        <f ca="1">IFERROR(__xludf.DUMMYFUNCTION("""COMPUTED_VALUE"""),0)</f>
        <v>0</v>
      </c>
      <c r="J10" s="23">
        <f ca="1">IFERROR(__xludf.DUMMYFUNCTION("""COMPUTED_VALUE"""),0)</f>
        <v>0</v>
      </c>
      <c r="K10" s="23">
        <f ca="1">IFERROR(__xludf.DUMMYFUNCTION("""COMPUTED_VALUE"""),0)</f>
        <v>0</v>
      </c>
      <c r="L10" s="23">
        <f ca="1">IFERROR(__xludf.DUMMYFUNCTION("""COMPUTED_VALUE"""),0)</f>
        <v>0</v>
      </c>
      <c r="M10" s="23">
        <f ca="1">IFERROR(__xludf.DUMMYFUNCTION("""COMPUTED_VALUE"""),0)</f>
        <v>0</v>
      </c>
      <c r="N10" s="23">
        <f ca="1">IFERROR(__xludf.DUMMYFUNCTION("""COMPUTED_VALUE"""),0)</f>
        <v>0</v>
      </c>
      <c r="O10" s="23">
        <f ca="1">IFERROR(__xludf.DUMMYFUNCTION("""COMPUTED_VALUE"""),0)</f>
        <v>0</v>
      </c>
      <c r="P10" s="23">
        <f ca="1">IFERROR(__xludf.DUMMYFUNCTION("""COMPUTED_VALUE"""),0)</f>
        <v>0</v>
      </c>
      <c r="Q10" s="23">
        <f ca="1">IFERROR(__xludf.DUMMYFUNCTION("""COMPUTED_VALUE"""),0)</f>
        <v>0</v>
      </c>
      <c r="R10" s="23">
        <f ca="1">IFERROR(__xludf.DUMMYFUNCTION("""COMPUTED_VALUE"""),0)</f>
        <v>0</v>
      </c>
      <c r="S10" s="23">
        <f ca="1">IFERROR(__xludf.DUMMYFUNCTION("""COMPUTED_VALUE"""),0)</f>
        <v>0</v>
      </c>
    </row>
    <row r="11" spans="1:19">
      <c r="A11" s="23" t="str">
        <f ca="1">IFERROR(__xludf.DUMMYFUNCTION("""COMPUTED_VALUE"""),"REUNIONES FEDERALES APLICADO EN EL DESARROLLO DEL CAMPO")</f>
        <v>REUNIONES FEDERALES APLICADO EN EL DESARROLLO DEL CAMPO</v>
      </c>
      <c r="B11" s="23">
        <f ca="1">IFERROR(__xludf.DUMMYFUNCTION("""COMPUTED_VALUE"""),1)</f>
        <v>1</v>
      </c>
      <c r="C11" s="23"/>
      <c r="D11" s="23" t="str">
        <f ca="1">IFERROR(__xludf.DUMMYFUNCTION("""COMPUTED_VALUE"""),"ASCENDENTE")</f>
        <v>ASCENDENTE</v>
      </c>
      <c r="E11" s="23" t="str">
        <f ca="1">IFERROR(__xludf.DUMMYFUNCTION("""COMPUTED_VALUE"""),"BITACORA OPERATIVA")</f>
        <v>BITACORA OPERATIVA</v>
      </c>
      <c r="F11" s="23">
        <f ca="1">IFERROR(__xludf.DUMMYFUNCTION("""COMPUTED_VALUE"""),0)</f>
        <v>0</v>
      </c>
      <c r="G11" s="23">
        <f ca="1">IFERROR(__xludf.DUMMYFUNCTION("""COMPUTED_VALUE"""),0)</f>
        <v>0</v>
      </c>
      <c r="H11" s="23">
        <f ca="1">IFERROR(__xludf.DUMMYFUNCTION("""COMPUTED_VALUE"""),0)</f>
        <v>0</v>
      </c>
      <c r="I11" s="23">
        <f ca="1">IFERROR(__xludf.DUMMYFUNCTION("""COMPUTED_VALUE"""),0)</f>
        <v>0</v>
      </c>
      <c r="J11" s="23">
        <f ca="1">IFERROR(__xludf.DUMMYFUNCTION("""COMPUTED_VALUE"""),0)</f>
        <v>0</v>
      </c>
      <c r="K11" s="23">
        <f ca="1">IFERROR(__xludf.DUMMYFUNCTION("""COMPUTED_VALUE"""),0)</f>
        <v>0</v>
      </c>
      <c r="L11" s="23">
        <f ca="1">IFERROR(__xludf.DUMMYFUNCTION("""COMPUTED_VALUE"""),0)</f>
        <v>0</v>
      </c>
      <c r="M11" s="23">
        <f ca="1">IFERROR(__xludf.DUMMYFUNCTION("""COMPUTED_VALUE"""),0)</f>
        <v>0</v>
      </c>
      <c r="N11" s="23">
        <f ca="1">IFERROR(__xludf.DUMMYFUNCTION("""COMPUTED_VALUE"""),0)</f>
        <v>0</v>
      </c>
      <c r="O11" s="23">
        <f ca="1">IFERROR(__xludf.DUMMYFUNCTION("""COMPUTED_VALUE"""),0)</f>
        <v>0</v>
      </c>
      <c r="P11" s="23">
        <f ca="1">IFERROR(__xludf.DUMMYFUNCTION("""COMPUTED_VALUE"""),0)</f>
        <v>0</v>
      </c>
      <c r="Q11" s="23">
        <f ca="1">IFERROR(__xludf.DUMMYFUNCTION("""COMPUTED_VALUE"""),0)</f>
        <v>0</v>
      </c>
      <c r="R11" s="23">
        <f ca="1">IFERROR(__xludf.DUMMYFUNCTION("""COMPUTED_VALUE"""),0)</f>
        <v>0</v>
      </c>
      <c r="S11" s="23">
        <f ca="1">IFERROR(__xludf.DUMMYFUNCTION("""COMPUTED_VALUE"""),0)</f>
        <v>0</v>
      </c>
    </row>
    <row r="12" spans="1:19">
      <c r="A12" s="23" t="str">
        <f ca="1">IFERROR(__xludf.DUMMYFUNCTION("""COMPUTED_VALUE"""),"PERSONAS BENEFICIADAS")</f>
        <v>PERSONAS BENEFICIADAS</v>
      </c>
      <c r="B12" s="23">
        <f ca="1">IFERROR(__xludf.DUMMYFUNCTION("""COMPUTED_VALUE"""),1)</f>
        <v>1</v>
      </c>
      <c r="C12" s="23"/>
      <c r="D12" s="23" t="str">
        <f ca="1">IFERROR(__xludf.DUMMYFUNCTION("""COMPUTED_VALUE"""),"ASCENDENTE")</f>
        <v>ASCENDENTE</v>
      </c>
      <c r="E12" s="23" t="str">
        <f ca="1">IFERROR(__xludf.DUMMYFUNCTION("""COMPUTED_VALUE"""),"BITACORA OPERATIVA")</f>
        <v>BITACORA OPERATIVA</v>
      </c>
      <c r="F12" s="23">
        <f ca="1">IFERROR(__xludf.DUMMYFUNCTION("""COMPUTED_VALUE"""),0)</f>
        <v>0</v>
      </c>
      <c r="G12" s="23">
        <f ca="1">IFERROR(__xludf.DUMMYFUNCTION("""COMPUTED_VALUE"""),0)</f>
        <v>0</v>
      </c>
      <c r="H12" s="23">
        <f ca="1">IFERROR(__xludf.DUMMYFUNCTION("""COMPUTED_VALUE"""),0)</f>
        <v>0</v>
      </c>
      <c r="I12" s="23">
        <f ca="1">IFERROR(__xludf.DUMMYFUNCTION("""COMPUTED_VALUE"""),0)</f>
        <v>0</v>
      </c>
      <c r="J12" s="23">
        <f ca="1">IFERROR(__xludf.DUMMYFUNCTION("""COMPUTED_VALUE"""),0)</f>
        <v>0</v>
      </c>
      <c r="K12" s="23">
        <f ca="1">IFERROR(__xludf.DUMMYFUNCTION("""COMPUTED_VALUE"""),0)</f>
        <v>0</v>
      </c>
      <c r="L12" s="23">
        <f ca="1">IFERROR(__xludf.DUMMYFUNCTION("""COMPUTED_VALUE"""),0)</f>
        <v>0</v>
      </c>
      <c r="M12" s="23">
        <f ca="1">IFERROR(__xludf.DUMMYFUNCTION("""COMPUTED_VALUE"""),0)</f>
        <v>0</v>
      </c>
      <c r="N12" s="23">
        <f ca="1">IFERROR(__xludf.DUMMYFUNCTION("""COMPUTED_VALUE"""),0)</f>
        <v>0</v>
      </c>
      <c r="O12" s="23">
        <f ca="1">IFERROR(__xludf.DUMMYFUNCTION("""COMPUTED_VALUE"""),0)</f>
        <v>0</v>
      </c>
      <c r="P12" s="23">
        <f ca="1">IFERROR(__xludf.DUMMYFUNCTION("""COMPUTED_VALUE"""),0)</f>
        <v>0</v>
      </c>
      <c r="Q12" s="23">
        <f ca="1">IFERROR(__xludf.DUMMYFUNCTION("""COMPUTED_VALUE"""),0)</f>
        <v>0</v>
      </c>
      <c r="R12" s="23">
        <f ca="1">IFERROR(__xludf.DUMMYFUNCTION("""COMPUTED_VALUE"""),0)</f>
        <v>0</v>
      </c>
      <c r="S12" s="23">
        <f ca="1">IFERROR(__xludf.DUMMYFUNCTION("""COMPUTED_VALUE"""),0)</f>
        <v>0</v>
      </c>
    </row>
    <row r="13" spans="1:19">
      <c r="A13" s="23" t="str">
        <f ca="1">IFERROR(__xludf.DUMMYFUNCTION("""COMPUTED_VALUE"""),"REUNIONES ESTATALES APLICADO EN EL DESARROLLO DEL CAMPO")</f>
        <v>REUNIONES ESTATALES APLICADO EN EL DESARROLLO DEL CAMPO</v>
      </c>
      <c r="B13" s="23">
        <f ca="1">IFERROR(__xludf.DUMMYFUNCTION("""COMPUTED_VALUE"""),1)</f>
        <v>1</v>
      </c>
      <c r="C13" s="23"/>
      <c r="D13" s="23" t="str">
        <f ca="1">IFERROR(__xludf.DUMMYFUNCTION("""COMPUTED_VALUE"""),"ASCENDENTE")</f>
        <v>ASCENDENTE</v>
      </c>
      <c r="E13" s="23" t="str">
        <f ca="1">IFERROR(__xludf.DUMMYFUNCTION("""COMPUTED_VALUE"""),"BITACORA OPERATIVA")</f>
        <v>BITACORA OPERATIVA</v>
      </c>
      <c r="F13" s="23">
        <f ca="1">IFERROR(__xludf.DUMMYFUNCTION("""COMPUTED_VALUE"""),0)</f>
        <v>0</v>
      </c>
      <c r="G13" s="23">
        <f ca="1">IFERROR(__xludf.DUMMYFUNCTION("""COMPUTED_VALUE"""),0)</f>
        <v>0</v>
      </c>
      <c r="H13" s="23">
        <f ca="1">IFERROR(__xludf.DUMMYFUNCTION("""COMPUTED_VALUE"""),0)</f>
        <v>0</v>
      </c>
      <c r="I13" s="23">
        <f ca="1">IFERROR(__xludf.DUMMYFUNCTION("""COMPUTED_VALUE"""),0)</f>
        <v>0</v>
      </c>
      <c r="J13" s="23">
        <f ca="1">IFERROR(__xludf.DUMMYFUNCTION("""COMPUTED_VALUE"""),0)</f>
        <v>0</v>
      </c>
      <c r="K13" s="23">
        <f ca="1">IFERROR(__xludf.DUMMYFUNCTION("""COMPUTED_VALUE"""),0)</f>
        <v>0</v>
      </c>
      <c r="L13" s="23">
        <f ca="1">IFERROR(__xludf.DUMMYFUNCTION("""COMPUTED_VALUE"""),0)</f>
        <v>0</v>
      </c>
      <c r="M13" s="23">
        <f ca="1">IFERROR(__xludf.DUMMYFUNCTION("""COMPUTED_VALUE"""),0)</f>
        <v>0</v>
      </c>
      <c r="N13" s="23">
        <f ca="1">IFERROR(__xludf.DUMMYFUNCTION("""COMPUTED_VALUE"""),0)</f>
        <v>0</v>
      </c>
      <c r="O13" s="23">
        <f ca="1">IFERROR(__xludf.DUMMYFUNCTION("""COMPUTED_VALUE"""),0)</f>
        <v>0</v>
      </c>
      <c r="P13" s="23">
        <f ca="1">IFERROR(__xludf.DUMMYFUNCTION("""COMPUTED_VALUE"""),0)</f>
        <v>0</v>
      </c>
      <c r="Q13" s="23">
        <f ca="1">IFERROR(__xludf.DUMMYFUNCTION("""COMPUTED_VALUE"""),0)</f>
        <v>0</v>
      </c>
      <c r="R13" s="23">
        <f ca="1">IFERROR(__xludf.DUMMYFUNCTION("""COMPUTED_VALUE"""),0)</f>
        <v>0</v>
      </c>
      <c r="S13" s="23">
        <f ca="1">IFERROR(__xludf.DUMMYFUNCTION("""COMPUTED_VALUE"""),0)</f>
        <v>0</v>
      </c>
    </row>
    <row r="14" spans="1:19">
      <c r="A14" s="23" t="str">
        <f ca="1">IFERROR(__xludf.DUMMYFUNCTION("""COMPUTED_VALUE"""),"PERSONAS BENEFICIADAS")</f>
        <v>PERSONAS BENEFICIADAS</v>
      </c>
      <c r="B14" s="23">
        <f ca="1">IFERROR(__xludf.DUMMYFUNCTION("""COMPUTED_VALUE"""),1)</f>
        <v>1</v>
      </c>
      <c r="C14" s="23"/>
      <c r="D14" s="23" t="str">
        <f ca="1">IFERROR(__xludf.DUMMYFUNCTION("""COMPUTED_VALUE"""),"ASCENDENTE")</f>
        <v>ASCENDENTE</v>
      </c>
      <c r="E14" s="23" t="str">
        <f ca="1">IFERROR(__xludf.DUMMYFUNCTION("""COMPUTED_VALUE"""),"BITACORA OPERATIVA")</f>
        <v>BITACORA OPERATIVA</v>
      </c>
      <c r="F14" s="23">
        <f ca="1">IFERROR(__xludf.DUMMYFUNCTION("""COMPUTED_VALUE"""),0)</f>
        <v>0</v>
      </c>
      <c r="G14" s="23">
        <f ca="1">IFERROR(__xludf.DUMMYFUNCTION("""COMPUTED_VALUE"""),0)</f>
        <v>0</v>
      </c>
      <c r="H14" s="23">
        <f ca="1">IFERROR(__xludf.DUMMYFUNCTION("""COMPUTED_VALUE"""),0)</f>
        <v>0</v>
      </c>
      <c r="I14" s="23">
        <f ca="1">IFERROR(__xludf.DUMMYFUNCTION("""COMPUTED_VALUE"""),0)</f>
        <v>0</v>
      </c>
      <c r="J14" s="23">
        <f ca="1">IFERROR(__xludf.DUMMYFUNCTION("""COMPUTED_VALUE"""),0)</f>
        <v>0</v>
      </c>
      <c r="K14" s="23">
        <f ca="1">IFERROR(__xludf.DUMMYFUNCTION("""COMPUTED_VALUE"""),0)</f>
        <v>0</v>
      </c>
      <c r="L14" s="23">
        <f ca="1">IFERROR(__xludf.DUMMYFUNCTION("""COMPUTED_VALUE"""),0)</f>
        <v>0</v>
      </c>
      <c r="M14" s="23">
        <f ca="1">IFERROR(__xludf.DUMMYFUNCTION("""COMPUTED_VALUE"""),0)</f>
        <v>0</v>
      </c>
      <c r="N14" s="23">
        <f ca="1">IFERROR(__xludf.DUMMYFUNCTION("""COMPUTED_VALUE"""),0)</f>
        <v>0</v>
      </c>
      <c r="O14" s="23">
        <f ca="1">IFERROR(__xludf.DUMMYFUNCTION("""COMPUTED_VALUE"""),0)</f>
        <v>0</v>
      </c>
      <c r="P14" s="23">
        <f ca="1">IFERROR(__xludf.DUMMYFUNCTION("""COMPUTED_VALUE"""),0)</f>
        <v>0</v>
      </c>
      <c r="Q14" s="23">
        <f ca="1">IFERROR(__xludf.DUMMYFUNCTION("""COMPUTED_VALUE"""),0)</f>
        <v>0</v>
      </c>
      <c r="R14" s="23">
        <f ca="1">IFERROR(__xludf.DUMMYFUNCTION("""COMPUTED_VALUE"""),0)</f>
        <v>0</v>
      </c>
      <c r="S14" s="23">
        <f ca="1">IFERROR(__xludf.DUMMYFUNCTION("""COMPUTED_VALUE"""),0)</f>
        <v>0</v>
      </c>
    </row>
    <row r="15" spans="1:19">
      <c r="A15" s="23" t="str">
        <f ca="1">IFERROR(__xludf.DUMMYFUNCTION("""COMPUTED_VALUE"""),"REUNIONES MUNICIPALES APLICADOS AL DESARROLLO RURAL")</f>
        <v>REUNIONES MUNICIPALES APLICADOS AL DESARROLLO RURAL</v>
      </c>
      <c r="B15" s="23">
        <f ca="1">IFERROR(__xludf.DUMMYFUNCTION("""COMPUTED_VALUE"""),1)</f>
        <v>1</v>
      </c>
      <c r="C15" s="23"/>
      <c r="D15" s="23" t="str">
        <f ca="1">IFERROR(__xludf.DUMMYFUNCTION("""COMPUTED_VALUE"""),"ASCENDENTE")</f>
        <v>ASCENDENTE</v>
      </c>
      <c r="E15" s="23" t="str">
        <f ca="1">IFERROR(__xludf.DUMMYFUNCTION("""COMPUTED_VALUE"""),"BITACORA OPERATIVA")</f>
        <v>BITACORA OPERATIVA</v>
      </c>
      <c r="F15" s="23">
        <f ca="1">IFERROR(__xludf.DUMMYFUNCTION("""COMPUTED_VALUE"""),0)</f>
        <v>0</v>
      </c>
      <c r="G15" s="23">
        <f ca="1">IFERROR(__xludf.DUMMYFUNCTION("""COMPUTED_VALUE"""),0)</f>
        <v>0</v>
      </c>
      <c r="H15" s="23">
        <f ca="1">IFERROR(__xludf.DUMMYFUNCTION("""COMPUTED_VALUE"""),0)</f>
        <v>0</v>
      </c>
      <c r="I15" s="23">
        <f ca="1">IFERROR(__xludf.DUMMYFUNCTION("""COMPUTED_VALUE"""),0)</f>
        <v>0</v>
      </c>
      <c r="J15" s="23">
        <f ca="1">IFERROR(__xludf.DUMMYFUNCTION("""COMPUTED_VALUE"""),0)</f>
        <v>0</v>
      </c>
      <c r="K15" s="23">
        <f ca="1">IFERROR(__xludf.DUMMYFUNCTION("""COMPUTED_VALUE"""),0)</f>
        <v>0</v>
      </c>
      <c r="L15" s="23">
        <f ca="1">IFERROR(__xludf.DUMMYFUNCTION("""COMPUTED_VALUE"""),0)</f>
        <v>0</v>
      </c>
      <c r="M15" s="23">
        <f ca="1">IFERROR(__xludf.DUMMYFUNCTION("""COMPUTED_VALUE"""),0)</f>
        <v>0</v>
      </c>
      <c r="N15" s="23">
        <f ca="1">IFERROR(__xludf.DUMMYFUNCTION("""COMPUTED_VALUE"""),0)</f>
        <v>0</v>
      </c>
      <c r="O15" s="23">
        <f ca="1">IFERROR(__xludf.DUMMYFUNCTION("""COMPUTED_VALUE"""),0)</f>
        <v>0</v>
      </c>
      <c r="P15" s="23">
        <f ca="1">IFERROR(__xludf.DUMMYFUNCTION("""COMPUTED_VALUE"""),0)</f>
        <v>0</v>
      </c>
      <c r="Q15" s="23">
        <f ca="1">IFERROR(__xludf.DUMMYFUNCTION("""COMPUTED_VALUE"""),0)</f>
        <v>0</v>
      </c>
      <c r="R15" s="23">
        <f ca="1">IFERROR(__xludf.DUMMYFUNCTION("""COMPUTED_VALUE"""),0)</f>
        <v>0</v>
      </c>
      <c r="S15" s="23">
        <f ca="1">IFERROR(__xludf.DUMMYFUNCTION("""COMPUTED_VALUE"""),0)</f>
        <v>0</v>
      </c>
    </row>
    <row r="16" spans="1:19">
      <c r="A16" s="23" t="str">
        <f ca="1">IFERROR(__xludf.DUMMYFUNCTION("""COMPUTED_VALUE"""),"PERSONAS BENEFICIADAS")</f>
        <v>PERSONAS BENEFICIADAS</v>
      </c>
      <c r="B16" s="23">
        <f ca="1">IFERROR(__xludf.DUMMYFUNCTION("""COMPUTED_VALUE"""),1)</f>
        <v>1</v>
      </c>
      <c r="C16" s="23"/>
      <c r="D16" s="23" t="str">
        <f ca="1">IFERROR(__xludf.DUMMYFUNCTION("""COMPUTED_VALUE"""),"ASCENDENTE")</f>
        <v>ASCENDENTE</v>
      </c>
      <c r="E16" s="23" t="str">
        <f ca="1">IFERROR(__xludf.DUMMYFUNCTION("""COMPUTED_VALUE"""),"BITACORA OPERATIVA")</f>
        <v>BITACORA OPERATIVA</v>
      </c>
      <c r="F16" s="23">
        <f ca="1">IFERROR(__xludf.DUMMYFUNCTION("""COMPUTED_VALUE"""),0)</f>
        <v>0</v>
      </c>
      <c r="G16" s="23">
        <f ca="1">IFERROR(__xludf.DUMMYFUNCTION("""COMPUTED_VALUE"""),0)</f>
        <v>0</v>
      </c>
      <c r="H16" s="23">
        <f ca="1">IFERROR(__xludf.DUMMYFUNCTION("""COMPUTED_VALUE"""),0)</f>
        <v>0</v>
      </c>
      <c r="I16" s="23">
        <f ca="1">IFERROR(__xludf.DUMMYFUNCTION("""COMPUTED_VALUE"""),0)</f>
        <v>0</v>
      </c>
      <c r="J16" s="23">
        <f ca="1">IFERROR(__xludf.DUMMYFUNCTION("""COMPUTED_VALUE"""),0)</f>
        <v>0</v>
      </c>
      <c r="K16" s="23">
        <f ca="1">IFERROR(__xludf.DUMMYFUNCTION("""COMPUTED_VALUE"""),0)</f>
        <v>0</v>
      </c>
      <c r="L16" s="23">
        <f ca="1">IFERROR(__xludf.DUMMYFUNCTION("""COMPUTED_VALUE"""),0)</f>
        <v>0</v>
      </c>
      <c r="M16" s="23">
        <f ca="1">IFERROR(__xludf.DUMMYFUNCTION("""COMPUTED_VALUE"""),0)</f>
        <v>0</v>
      </c>
      <c r="N16" s="23">
        <f ca="1">IFERROR(__xludf.DUMMYFUNCTION("""COMPUTED_VALUE"""),0)</f>
        <v>0</v>
      </c>
      <c r="O16" s="23">
        <f ca="1">IFERROR(__xludf.DUMMYFUNCTION("""COMPUTED_VALUE"""),0)</f>
        <v>0</v>
      </c>
      <c r="P16" s="23">
        <f ca="1">IFERROR(__xludf.DUMMYFUNCTION("""COMPUTED_VALUE"""),0)</f>
        <v>0</v>
      </c>
      <c r="Q16" s="23">
        <f ca="1">IFERROR(__xludf.DUMMYFUNCTION("""COMPUTED_VALUE"""),0)</f>
        <v>0</v>
      </c>
      <c r="R16" s="23">
        <f ca="1">IFERROR(__xludf.DUMMYFUNCTION("""COMPUTED_VALUE"""),0)</f>
        <v>0</v>
      </c>
      <c r="S16" s="23">
        <f ca="1">IFERROR(__xludf.DUMMYFUNCTION("""COMPUTED_VALUE"""),0)</f>
        <v>0</v>
      </c>
    </row>
    <row r="17" spans="1:19">
      <c r="A17" s="23" t="str">
        <f ca="1">IFERROR(__xludf.DUMMYFUNCTION("""COMPUTED_VALUE"""),"PRODUCTORES DEL CAMPO ATENDIDOS ")</f>
        <v xml:space="preserve">PRODUCTORES DEL CAMPO ATENDIDOS </v>
      </c>
      <c r="B17" s="23">
        <f ca="1">IFERROR(__xludf.DUMMYFUNCTION("""COMPUTED_VALUE"""),1)</f>
        <v>1</v>
      </c>
      <c r="C17" s="23"/>
      <c r="D17" s="23" t="str">
        <f ca="1">IFERROR(__xludf.DUMMYFUNCTION("""COMPUTED_VALUE"""),"ASCENDENTE")</f>
        <v>ASCENDENTE</v>
      </c>
      <c r="E17" s="23" t="str">
        <f ca="1">IFERROR(__xludf.DUMMYFUNCTION("""COMPUTED_VALUE"""),"BITACORA OPERATIVA")</f>
        <v>BITACORA OPERATIVA</v>
      </c>
      <c r="F17" s="23">
        <f ca="1">IFERROR(__xludf.DUMMYFUNCTION("""COMPUTED_VALUE"""),0)</f>
        <v>0</v>
      </c>
      <c r="G17" s="23">
        <f ca="1">IFERROR(__xludf.DUMMYFUNCTION("""COMPUTED_VALUE"""),0)</f>
        <v>0</v>
      </c>
      <c r="H17" s="23">
        <f ca="1">IFERROR(__xludf.DUMMYFUNCTION("""COMPUTED_VALUE"""),0)</f>
        <v>0</v>
      </c>
      <c r="I17" s="23">
        <f ca="1">IFERROR(__xludf.DUMMYFUNCTION("""COMPUTED_VALUE"""),0)</f>
        <v>0</v>
      </c>
      <c r="J17" s="23">
        <f ca="1">IFERROR(__xludf.DUMMYFUNCTION("""COMPUTED_VALUE"""),0)</f>
        <v>0</v>
      </c>
      <c r="K17" s="23">
        <f ca="1">IFERROR(__xludf.DUMMYFUNCTION("""COMPUTED_VALUE"""),0)</f>
        <v>0</v>
      </c>
      <c r="L17" s="23">
        <f ca="1">IFERROR(__xludf.DUMMYFUNCTION("""COMPUTED_VALUE"""),0)</f>
        <v>0</v>
      </c>
      <c r="M17" s="23">
        <f ca="1">IFERROR(__xludf.DUMMYFUNCTION("""COMPUTED_VALUE"""),0)</f>
        <v>0</v>
      </c>
      <c r="N17" s="23">
        <f ca="1">IFERROR(__xludf.DUMMYFUNCTION("""COMPUTED_VALUE"""),0)</f>
        <v>0</v>
      </c>
      <c r="O17" s="23">
        <f ca="1">IFERROR(__xludf.DUMMYFUNCTION("""COMPUTED_VALUE"""),0)</f>
        <v>0</v>
      </c>
      <c r="P17" s="23">
        <f ca="1">IFERROR(__xludf.DUMMYFUNCTION("""COMPUTED_VALUE"""),0)</f>
        <v>0</v>
      </c>
      <c r="Q17" s="23">
        <f ca="1">IFERROR(__xludf.DUMMYFUNCTION("""COMPUTED_VALUE"""),0)</f>
        <v>0</v>
      </c>
      <c r="R17" s="23">
        <f ca="1">IFERROR(__xludf.DUMMYFUNCTION("""COMPUTED_VALUE"""),0)</f>
        <v>0</v>
      </c>
      <c r="S17" s="23">
        <f ca="1">IFERROR(__xludf.DUMMYFUNCTION("""COMPUTED_VALUE"""),0)</f>
        <v>0</v>
      </c>
    </row>
    <row r="18" spans="1:19">
      <c r="A18" s="23" t="str">
        <f ca="1">IFERROR(__xludf.DUMMYFUNCTION("""COMPUTED_VALUE"""),"ASESORIAS IMPARTIDAS EN TEMAS RELACIONADOS AL CAMPO")</f>
        <v>ASESORIAS IMPARTIDAS EN TEMAS RELACIONADOS AL CAMPO</v>
      </c>
      <c r="B18" s="23">
        <f ca="1">IFERROR(__xludf.DUMMYFUNCTION("""COMPUTED_VALUE"""),1)</f>
        <v>1</v>
      </c>
      <c r="C18" s="23"/>
      <c r="D18" s="23" t="str">
        <f ca="1">IFERROR(__xludf.DUMMYFUNCTION("""COMPUTED_VALUE"""),"ASCENDENTE")</f>
        <v>ASCENDENTE</v>
      </c>
      <c r="E18" s="23" t="str">
        <f ca="1">IFERROR(__xludf.DUMMYFUNCTION("""COMPUTED_VALUE"""),"BITACORA OPERATIVA")</f>
        <v>BITACORA OPERATIVA</v>
      </c>
      <c r="F18" s="23">
        <f ca="1">IFERROR(__xludf.DUMMYFUNCTION("""COMPUTED_VALUE"""),0)</f>
        <v>0</v>
      </c>
      <c r="G18" s="23">
        <f ca="1">IFERROR(__xludf.DUMMYFUNCTION("""COMPUTED_VALUE"""),0)</f>
        <v>0</v>
      </c>
      <c r="H18" s="23">
        <f ca="1">IFERROR(__xludf.DUMMYFUNCTION("""COMPUTED_VALUE"""),0)</f>
        <v>0</v>
      </c>
      <c r="I18" s="23">
        <f ca="1">IFERROR(__xludf.DUMMYFUNCTION("""COMPUTED_VALUE"""),0)</f>
        <v>0</v>
      </c>
      <c r="J18" s="23">
        <f ca="1">IFERROR(__xludf.DUMMYFUNCTION("""COMPUTED_VALUE"""),0)</f>
        <v>0</v>
      </c>
      <c r="K18" s="23">
        <f ca="1">IFERROR(__xludf.DUMMYFUNCTION("""COMPUTED_VALUE"""),0)</f>
        <v>0</v>
      </c>
      <c r="L18" s="23">
        <f ca="1">IFERROR(__xludf.DUMMYFUNCTION("""COMPUTED_VALUE"""),0)</f>
        <v>0</v>
      </c>
      <c r="M18" s="23">
        <f ca="1">IFERROR(__xludf.DUMMYFUNCTION("""COMPUTED_VALUE"""),0)</f>
        <v>0</v>
      </c>
      <c r="N18" s="23">
        <f ca="1">IFERROR(__xludf.DUMMYFUNCTION("""COMPUTED_VALUE"""),0)</f>
        <v>0</v>
      </c>
      <c r="O18" s="23">
        <f ca="1">IFERROR(__xludf.DUMMYFUNCTION("""COMPUTED_VALUE"""),0)</f>
        <v>0</v>
      </c>
      <c r="P18" s="23">
        <f ca="1">IFERROR(__xludf.DUMMYFUNCTION("""COMPUTED_VALUE"""),0)</f>
        <v>0</v>
      </c>
      <c r="Q18" s="23">
        <f ca="1">IFERROR(__xludf.DUMMYFUNCTION("""COMPUTED_VALUE"""),0)</f>
        <v>0</v>
      </c>
      <c r="R18" s="23">
        <f ca="1">IFERROR(__xludf.DUMMYFUNCTION("""COMPUTED_VALUE"""),0)</f>
        <v>0</v>
      </c>
      <c r="S18" s="23">
        <f ca="1">IFERROR(__xludf.DUMMYFUNCTION("""COMPUTED_VALUE"""),0)</f>
        <v>0</v>
      </c>
    </row>
    <row r="19" spans="1:19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</row>
    <row r="20" spans="1:19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</row>
    <row r="21" spans="1:19">
      <c r="A21" s="23"/>
      <c r="B21" s="23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</row>
    <row r="22" spans="1:19">
      <c r="A22" s="23"/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</row>
    <row r="23" spans="1:19">
      <c r="A23" s="23"/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</row>
    <row r="24" spans="1:19">
      <c r="A24" s="23"/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</row>
    <row r="25" spans="1:19">
      <c r="A25" s="23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</row>
    <row r="26" spans="1:19">
      <c r="A26" s="23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</row>
    <row r="27" spans="1:19">
      <c r="A27" s="23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</row>
    <row r="28" spans="1:19">
      <c r="A28" s="23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</row>
    <row r="29" spans="1:19">
      <c r="A29" s="23"/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</row>
    <row r="30" spans="1:19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</row>
    <row r="31" spans="1:19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</row>
    <row r="32" spans="1:19">
      <c r="A32" s="23"/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</row>
    <row r="33" spans="1:19">
      <c r="A33" s="23"/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</row>
    <row r="34" spans="1:19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</row>
    <row r="35" spans="1:19">
      <c r="A35" s="23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</row>
    <row r="36" spans="1:19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</row>
    <row r="37" spans="1:19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</row>
    <row r="38" spans="1:19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</row>
    <row r="39" spans="1:19">
      <c r="A39" s="23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</row>
    <row r="41" spans="1:19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</row>
    <row r="42" spans="1:19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</row>
    <row r="43" spans="1:19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</row>
    <row r="44" spans="1:19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</row>
    <row r="45" spans="1:19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</row>
    <row r="46" spans="1:19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</row>
    <row r="47" spans="1:19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</row>
    <row r="48" spans="1:19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</row>
    <row r="49" spans="1:19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</row>
    <row r="50" spans="1:19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</row>
    <row r="51" spans="1:19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</row>
    <row r="52" spans="1:19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</row>
    <row r="53" spans="1:19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</row>
    <row r="54" spans="1:19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</row>
    <row r="55" spans="1:19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</row>
    <row r="56" spans="1:19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</row>
    <row r="57" spans="1:19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</row>
    <row r="58" spans="1:19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</row>
    <row r="59" spans="1:19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</row>
    <row r="60" spans="1:19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</row>
    <row r="61" spans="1:19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</row>
    <row r="62" spans="1:19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</row>
    <row r="63" spans="1:19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</row>
    <row r="64" spans="1:19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</row>
    <row r="65" spans="1:19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</row>
    <row r="66" spans="1:19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</row>
    <row r="67" spans="1:19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</row>
    <row r="68" spans="1:19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</row>
    <row r="69" spans="1:19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</row>
    <row r="70" spans="1:19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</row>
    <row r="71" spans="1:19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</row>
    <row r="72" spans="1:19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</row>
    <row r="73" spans="1:19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</row>
    <row r="74" spans="1:19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</row>
    <row r="75" spans="1:19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</row>
    <row r="76" spans="1:19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</row>
    <row r="77" spans="1:19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</row>
    <row r="78" spans="1:19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</row>
    <row r="79" spans="1:19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</row>
    <row r="80" spans="1:19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</row>
    <row r="81" spans="1:19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</row>
    <row r="82" spans="1:19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</row>
    <row r="83" spans="1:19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</row>
    <row r="84" spans="1:19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</row>
    <row r="85" spans="1:19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</row>
    <row r="86" spans="1:19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</row>
    <row r="87" spans="1:19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</row>
    <row r="88" spans="1:19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</row>
    <row r="89" spans="1:19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</row>
    <row r="90" spans="1:19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</row>
    <row r="91" spans="1:19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</row>
    <row r="92" spans="1:19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</row>
    <row r="93" spans="1:19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</row>
    <row r="94" spans="1:19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</row>
    <row r="95" spans="1:19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</row>
    <row r="96" spans="1:19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</row>
    <row r="97" spans="1:19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</row>
    <row r="98" spans="1:19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</row>
    <row r="99" spans="1:19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</row>
    <row r="100" spans="1:19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</row>
    <row r="101" spans="1:19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</row>
    <row r="102" spans="1:19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</row>
    <row r="103" spans="1:19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</row>
    <row r="104" spans="1:19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</row>
    <row r="105" spans="1:19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</row>
    <row r="106" spans="1:19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</row>
    <row r="107" spans="1:19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</row>
    <row r="108" spans="1:19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</row>
    <row r="109" spans="1:19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</row>
    <row r="110" spans="1:19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</row>
    <row r="111" spans="1:19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</row>
    <row r="112" spans="1:19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</row>
    <row r="113" spans="1:19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</row>
    <row r="114" spans="1:19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</row>
    <row r="115" spans="1:19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</row>
    <row r="116" spans="1:19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</row>
    <row r="117" spans="1:19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</row>
    <row r="118" spans="1:19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</row>
    <row r="119" spans="1:19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</row>
    <row r="120" spans="1:19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</row>
    <row r="121" spans="1:19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</row>
    <row r="122" spans="1:19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</row>
    <row r="123" spans="1:19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</row>
    <row r="124" spans="1:19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</row>
    <row r="125" spans="1:19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</row>
    <row r="126" spans="1:19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</row>
    <row r="127" spans="1:19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</row>
    <row r="128" spans="1:19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</row>
    <row r="129" spans="1:19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</row>
    <row r="130" spans="1:19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</row>
    <row r="131" spans="1:19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</row>
    <row r="132" spans="1:19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</row>
    <row r="133" spans="1:19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</row>
    <row r="134" spans="1:19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</row>
    <row r="135" spans="1:19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</row>
    <row r="136" spans="1:19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</row>
    <row r="137" spans="1:19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</row>
    <row r="138" spans="1:19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</row>
    <row r="139" spans="1:19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</row>
    <row r="140" spans="1:19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</row>
    <row r="141" spans="1:19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</row>
    <row r="142" spans="1:19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</row>
    <row r="143" spans="1:19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</row>
    <row r="144" spans="1:19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</row>
    <row r="145" spans="1:19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</row>
    <row r="146" spans="1:19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</row>
    <row r="147" spans="1:19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</row>
    <row r="148" spans="1:19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</row>
    <row r="149" spans="1:19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</row>
    <row r="150" spans="1:19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</row>
    <row r="151" spans="1:19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</row>
    <row r="152" spans="1:19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</row>
    <row r="153" spans="1:19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</row>
    <row r="154" spans="1:19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</row>
    <row r="155" spans="1:19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</row>
    <row r="156" spans="1:19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</row>
    <row r="157" spans="1:19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</row>
    <row r="158" spans="1:19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</row>
    <row r="159" spans="1:19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</row>
    <row r="160" spans="1:19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</row>
    <row r="161" spans="1:19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</row>
    <row r="162" spans="1:19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</row>
    <row r="163" spans="1:19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</row>
    <row r="164" spans="1:19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</row>
    <row r="165" spans="1:19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</row>
    <row r="166" spans="1:19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</row>
    <row r="167" spans="1:19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</row>
    <row r="168" spans="1:19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</row>
    <row r="169" spans="1:19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</row>
    <row r="170" spans="1:19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</row>
    <row r="171" spans="1:19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</row>
    <row r="172" spans="1:19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</row>
    <row r="173" spans="1:19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</row>
    <row r="174" spans="1:19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</row>
    <row r="175" spans="1:19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</row>
    <row r="176" spans="1:19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</row>
    <row r="177" spans="1:19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</row>
    <row r="178" spans="1:19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</row>
    <row r="179" spans="1:19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</row>
    <row r="180" spans="1:19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</row>
    <row r="181" spans="1:19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</row>
    <row r="182" spans="1:19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</row>
    <row r="183" spans="1:19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</row>
    <row r="184" spans="1:19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</row>
    <row r="185" spans="1:19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</row>
    <row r="186" spans="1:19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</row>
    <row r="187" spans="1:19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</row>
    <row r="188" spans="1:19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</row>
    <row r="189" spans="1:19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</row>
    <row r="190" spans="1:19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</row>
    <row r="191" spans="1:19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</row>
    <row r="192" spans="1:19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</row>
    <row r="193" spans="1:19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</row>
    <row r="194" spans="1:19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</row>
    <row r="195" spans="1:19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</row>
    <row r="196" spans="1:19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</row>
    <row r="197" spans="1:19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</row>
    <row r="198" spans="1:19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</row>
    <row r="199" spans="1:19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</row>
    <row r="200" spans="1:19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</row>
    <row r="201" spans="1:19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</row>
    <row r="202" spans="1:19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</row>
    <row r="203" spans="1:19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</row>
    <row r="204" spans="1:19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</row>
    <row r="205" spans="1:19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</row>
    <row r="206" spans="1:19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</row>
    <row r="207" spans="1:19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</row>
    <row r="208" spans="1:19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</row>
    <row r="209" spans="1:19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</row>
    <row r="210" spans="1:19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</row>
    <row r="211" spans="1:19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</row>
    <row r="212" spans="1:19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</row>
    <row r="213" spans="1:19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</row>
    <row r="214" spans="1:19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</row>
    <row r="215" spans="1:19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</row>
    <row r="216" spans="1:19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</row>
    <row r="217" spans="1:19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</row>
    <row r="218" spans="1:19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</row>
    <row r="219" spans="1:19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</row>
    <row r="220" spans="1:19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</row>
    <row r="221" spans="1:19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</row>
    <row r="222" spans="1:19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</row>
    <row r="223" spans="1:19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</row>
    <row r="224" spans="1:19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</row>
    <row r="225" spans="1:19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</row>
    <row r="226" spans="1:19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</row>
    <row r="227" spans="1:19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</row>
    <row r="228" spans="1:19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</row>
    <row r="229" spans="1:19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</row>
    <row r="230" spans="1:19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</row>
    <row r="231" spans="1:19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</row>
    <row r="232" spans="1:19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</row>
    <row r="233" spans="1:19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</row>
    <row r="234" spans="1:19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</row>
    <row r="235" spans="1:19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</row>
    <row r="236" spans="1:19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</row>
    <row r="237" spans="1:19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</row>
    <row r="238" spans="1:19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</row>
    <row r="239" spans="1:19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</row>
    <row r="240" spans="1:19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</row>
    <row r="241" spans="1:19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</row>
    <row r="242" spans="1:19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</row>
    <row r="243" spans="1:19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</row>
    <row r="244" spans="1:19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</row>
    <row r="245" spans="1:19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</row>
    <row r="246" spans="1:19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</row>
    <row r="247" spans="1:19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</row>
    <row r="248" spans="1:19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</row>
    <row r="249" spans="1:19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</row>
    <row r="250" spans="1:19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</row>
    <row r="251" spans="1:19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</row>
    <row r="252" spans="1:19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</row>
    <row r="253" spans="1:19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</row>
    <row r="254" spans="1:19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</row>
    <row r="255" spans="1:19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</row>
    <row r="256" spans="1:19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</row>
    <row r="257" spans="1:19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</row>
    <row r="258" spans="1:19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</row>
    <row r="259" spans="1:19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</row>
    <row r="260" spans="1:19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</row>
    <row r="261" spans="1:19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</row>
    <row r="262" spans="1:19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</row>
    <row r="263" spans="1:19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</row>
    <row r="264" spans="1:19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</row>
    <row r="265" spans="1:19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</row>
    <row r="266" spans="1:19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</row>
    <row r="267" spans="1:19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</row>
    <row r="268" spans="1:19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</row>
    <row r="269" spans="1:19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</row>
    <row r="270" spans="1:19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</row>
    <row r="271" spans="1:19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</row>
    <row r="272" spans="1:19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</row>
    <row r="273" spans="1:19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</row>
    <row r="274" spans="1:19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</row>
    <row r="275" spans="1:19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</row>
    <row r="276" spans="1:19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</row>
    <row r="277" spans="1:19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</row>
    <row r="278" spans="1:19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</row>
    <row r="279" spans="1:19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</row>
    <row r="280" spans="1:19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</row>
    <row r="281" spans="1:19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</row>
    <row r="282" spans="1:19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</row>
    <row r="283" spans="1:19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</row>
    <row r="284" spans="1:19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</row>
    <row r="285" spans="1:19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</row>
    <row r="286" spans="1:19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</row>
    <row r="287" spans="1:19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</row>
    <row r="288" spans="1:19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</row>
    <row r="289" spans="1:19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</row>
    <row r="290" spans="1:19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</row>
    <row r="291" spans="1:19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</row>
    <row r="292" spans="1:19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</row>
    <row r="293" spans="1:19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</row>
    <row r="294" spans="1:19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</row>
    <row r="295" spans="1:19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</row>
    <row r="296" spans="1:19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</row>
    <row r="297" spans="1:19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</row>
    <row r="298" spans="1:19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</row>
    <row r="299" spans="1:19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</row>
    <row r="300" spans="1:19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</row>
    <row r="301" spans="1:19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</row>
    <row r="302" spans="1:19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</row>
    <row r="303" spans="1:19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</row>
    <row r="304" spans="1:19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</row>
    <row r="305" spans="1:19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</row>
    <row r="306" spans="1:19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</row>
    <row r="307" spans="1:19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</row>
    <row r="308" spans="1:19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</row>
    <row r="309" spans="1:19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</row>
    <row r="310" spans="1:19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</row>
    <row r="311" spans="1:19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</row>
    <row r="312" spans="1:19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</row>
    <row r="313" spans="1:19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</row>
    <row r="314" spans="1:19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</row>
    <row r="315" spans="1:19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</row>
    <row r="316" spans="1:19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</row>
    <row r="317" spans="1:19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</row>
    <row r="318" spans="1:19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</row>
    <row r="319" spans="1:19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</row>
    <row r="320" spans="1:19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</row>
    <row r="321" spans="1:19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</row>
    <row r="322" spans="1:19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</row>
    <row r="323" spans="1:19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</row>
    <row r="324" spans="1:19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</row>
    <row r="325" spans="1:19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</row>
    <row r="326" spans="1:19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</row>
    <row r="327" spans="1:19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</row>
    <row r="328" spans="1:19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</row>
    <row r="329" spans="1:19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</row>
    <row r="330" spans="1:19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</row>
    <row r="331" spans="1:19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</row>
    <row r="332" spans="1:19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</row>
    <row r="333" spans="1:19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</row>
    <row r="334" spans="1:19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</row>
    <row r="335" spans="1:19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</row>
    <row r="336" spans="1:19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</row>
    <row r="337" spans="1:19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</row>
    <row r="338" spans="1:19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</row>
    <row r="339" spans="1:19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</row>
    <row r="340" spans="1:19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</row>
    <row r="341" spans="1:19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</row>
    <row r="342" spans="1:19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</row>
    <row r="343" spans="1:19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</row>
    <row r="344" spans="1:19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</row>
    <row r="345" spans="1:19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</row>
    <row r="346" spans="1:19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</row>
    <row r="347" spans="1:19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</row>
    <row r="348" spans="1:19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</row>
    <row r="349" spans="1:19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</row>
    <row r="350" spans="1:19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</row>
    <row r="351" spans="1:19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</row>
    <row r="352" spans="1:19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</row>
    <row r="353" spans="1:19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</row>
    <row r="354" spans="1:19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</row>
    <row r="355" spans="1:19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</row>
    <row r="356" spans="1:19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</row>
    <row r="357" spans="1:19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</row>
    <row r="358" spans="1:19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</row>
    <row r="359" spans="1:19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</row>
    <row r="360" spans="1:19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</row>
    <row r="361" spans="1:19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</row>
    <row r="362" spans="1:19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</row>
    <row r="363" spans="1:19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</row>
    <row r="364" spans="1:19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</row>
    <row r="365" spans="1:19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</row>
    <row r="366" spans="1:19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</row>
    <row r="367" spans="1:19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</row>
    <row r="368" spans="1:19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</row>
    <row r="369" spans="1:19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</row>
    <row r="370" spans="1:19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</row>
    <row r="371" spans="1:19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</row>
    <row r="372" spans="1:19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</row>
    <row r="373" spans="1:19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</row>
    <row r="374" spans="1:19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</row>
    <row r="375" spans="1:19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</row>
    <row r="376" spans="1:19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</row>
    <row r="377" spans="1:19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</row>
    <row r="378" spans="1:19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</row>
    <row r="379" spans="1:19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</row>
    <row r="380" spans="1:19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</row>
    <row r="381" spans="1:19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</row>
    <row r="382" spans="1:19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</row>
    <row r="383" spans="1:19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</row>
    <row r="384" spans="1:19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</row>
    <row r="385" spans="1:19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</row>
    <row r="386" spans="1:19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</row>
    <row r="387" spans="1:19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</row>
    <row r="388" spans="1:19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</row>
    <row r="389" spans="1:19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</row>
    <row r="390" spans="1:19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</row>
    <row r="391" spans="1:19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</row>
    <row r="392" spans="1:19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</row>
    <row r="393" spans="1:19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</row>
    <row r="394" spans="1:19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</row>
    <row r="395" spans="1:19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</row>
    <row r="396" spans="1:19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</row>
    <row r="397" spans="1:19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</row>
    <row r="398" spans="1:19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</row>
    <row r="399" spans="1:19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</row>
    <row r="400" spans="1:19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</row>
    <row r="401" spans="1:19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</row>
    <row r="402" spans="1:19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</row>
    <row r="403" spans="1:19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</row>
    <row r="404" spans="1:19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</row>
    <row r="405" spans="1:19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</row>
    <row r="406" spans="1:19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</row>
    <row r="407" spans="1:19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</row>
    <row r="408" spans="1:19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</row>
    <row r="409" spans="1:19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</row>
    <row r="410" spans="1:19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</row>
    <row r="411" spans="1:19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</row>
    <row r="412" spans="1:19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</row>
    <row r="413" spans="1:19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</row>
    <row r="414" spans="1:19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</row>
    <row r="415" spans="1:19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</row>
    <row r="416" spans="1:19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</row>
    <row r="417" spans="1:19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</row>
    <row r="418" spans="1:19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</row>
    <row r="419" spans="1:19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</row>
    <row r="420" spans="1:19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</row>
    <row r="421" spans="1:19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</row>
    <row r="422" spans="1:19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</row>
    <row r="423" spans="1:19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</row>
    <row r="424" spans="1:19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</row>
    <row r="425" spans="1:19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</row>
    <row r="426" spans="1:19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</row>
    <row r="427" spans="1:19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</row>
    <row r="428" spans="1:19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</row>
    <row r="429" spans="1:19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</row>
    <row r="430" spans="1:19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</row>
    <row r="431" spans="1:19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</row>
    <row r="432" spans="1:19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</row>
    <row r="433" spans="1:19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</row>
    <row r="434" spans="1:19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</row>
    <row r="435" spans="1:19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</row>
    <row r="436" spans="1:19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</row>
    <row r="437" spans="1:19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</row>
    <row r="438" spans="1:19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</row>
    <row r="439" spans="1:19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</row>
    <row r="440" spans="1:19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</row>
    <row r="441" spans="1:19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</row>
    <row r="442" spans="1:19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</row>
    <row r="443" spans="1:19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</row>
    <row r="444" spans="1:19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</row>
    <row r="445" spans="1:19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</row>
    <row r="446" spans="1:19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</row>
    <row r="447" spans="1:19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</row>
    <row r="448" spans="1:19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</row>
    <row r="449" spans="1:19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</row>
    <row r="450" spans="1:19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</row>
    <row r="451" spans="1:19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</row>
    <row r="452" spans="1:19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</row>
    <row r="453" spans="1:19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</row>
    <row r="454" spans="1:19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</row>
    <row r="455" spans="1:19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</row>
    <row r="456" spans="1:19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</row>
    <row r="457" spans="1:19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</row>
    <row r="458" spans="1:19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</row>
    <row r="459" spans="1:19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</row>
    <row r="460" spans="1:19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</row>
    <row r="461" spans="1:19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</row>
    <row r="462" spans="1:19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</row>
    <row r="463" spans="1:19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</row>
    <row r="464" spans="1:19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</row>
    <row r="465" spans="1:19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</row>
    <row r="466" spans="1:19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</row>
    <row r="467" spans="1:19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</row>
    <row r="468" spans="1:19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</row>
    <row r="469" spans="1:19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</row>
    <row r="470" spans="1:19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</row>
    <row r="471" spans="1:19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</row>
    <row r="472" spans="1:19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</row>
    <row r="473" spans="1:19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</row>
    <row r="474" spans="1:19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</row>
    <row r="475" spans="1:19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</row>
    <row r="476" spans="1:19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</row>
    <row r="477" spans="1:19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</row>
    <row r="478" spans="1:19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</row>
    <row r="479" spans="1:19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</row>
    <row r="480" spans="1:19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</row>
    <row r="481" spans="1:19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</row>
    <row r="482" spans="1:19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</row>
    <row r="483" spans="1:19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</row>
    <row r="484" spans="1:19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</row>
    <row r="485" spans="1:19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</row>
    <row r="486" spans="1:19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</row>
    <row r="487" spans="1:19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</row>
    <row r="488" spans="1:19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</row>
    <row r="489" spans="1:19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</row>
    <row r="490" spans="1:19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</row>
    <row r="491" spans="1:19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</row>
    <row r="492" spans="1:19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</row>
    <row r="493" spans="1:19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</row>
    <row r="494" spans="1:19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</row>
    <row r="495" spans="1:19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</row>
    <row r="496" spans="1:19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</row>
    <row r="497" spans="1:19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</row>
    <row r="498" spans="1:19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</row>
    <row r="499" spans="1:19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</row>
    <row r="500" spans="1:19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</row>
    <row r="501" spans="1:19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</row>
    <row r="502" spans="1:19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</row>
    <row r="503" spans="1:19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</row>
    <row r="504" spans="1:19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</row>
    <row r="505" spans="1:19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</row>
    <row r="506" spans="1:19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</row>
    <row r="507" spans="1:19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</row>
    <row r="508" spans="1:19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</row>
    <row r="509" spans="1:19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</row>
    <row r="510" spans="1:19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</row>
    <row r="511" spans="1:19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</row>
    <row r="512" spans="1:19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</row>
    <row r="513" spans="1:19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</row>
    <row r="514" spans="1:19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</row>
    <row r="515" spans="1:19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</row>
    <row r="516" spans="1:19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</row>
    <row r="517" spans="1:19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</row>
    <row r="518" spans="1:19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</row>
    <row r="519" spans="1:19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</row>
    <row r="520" spans="1:19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</row>
    <row r="521" spans="1:19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</row>
    <row r="522" spans="1:19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</row>
    <row r="523" spans="1:19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</row>
    <row r="524" spans="1:19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</row>
    <row r="525" spans="1:19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</row>
    <row r="526" spans="1:19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</row>
    <row r="527" spans="1:19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</row>
    <row r="528" spans="1:19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</row>
    <row r="529" spans="1:19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</row>
    <row r="530" spans="1:19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</row>
    <row r="531" spans="1:19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</row>
    <row r="532" spans="1:19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</row>
    <row r="533" spans="1:19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</row>
    <row r="534" spans="1:19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</row>
    <row r="535" spans="1:19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</row>
    <row r="536" spans="1:19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</row>
    <row r="537" spans="1:19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</row>
    <row r="538" spans="1:19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</row>
    <row r="539" spans="1:19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</row>
    <row r="540" spans="1:19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</row>
    <row r="541" spans="1:19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</row>
    <row r="542" spans="1:19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</row>
    <row r="543" spans="1:19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</row>
    <row r="544" spans="1:19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</row>
    <row r="545" spans="1:19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</row>
    <row r="546" spans="1:19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</row>
    <row r="547" spans="1:19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</row>
    <row r="548" spans="1:19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</row>
    <row r="549" spans="1:19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</row>
    <row r="550" spans="1:19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</row>
    <row r="551" spans="1:19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</row>
    <row r="552" spans="1:19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</row>
    <row r="553" spans="1:19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</row>
    <row r="554" spans="1:19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</row>
    <row r="555" spans="1:19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</row>
    <row r="556" spans="1:19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</row>
    <row r="557" spans="1:19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</row>
    <row r="558" spans="1:19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</row>
    <row r="559" spans="1:19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</row>
    <row r="560" spans="1:19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</row>
    <row r="561" spans="1:19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</row>
    <row r="562" spans="1:19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</row>
    <row r="563" spans="1:19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</row>
    <row r="564" spans="1:19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</row>
    <row r="565" spans="1:19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</row>
    <row r="566" spans="1:19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</row>
    <row r="567" spans="1:19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</row>
    <row r="568" spans="1:19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</row>
    <row r="569" spans="1:19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</row>
    <row r="570" spans="1:19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</row>
    <row r="571" spans="1:19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</row>
    <row r="572" spans="1:19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</row>
    <row r="573" spans="1:19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</row>
    <row r="574" spans="1:19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</row>
    <row r="575" spans="1:19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</row>
    <row r="576" spans="1:19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</row>
    <row r="577" spans="1:19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</row>
    <row r="578" spans="1:19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</row>
    <row r="579" spans="1:19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</row>
    <row r="580" spans="1:19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</row>
    <row r="581" spans="1:19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</row>
    <row r="582" spans="1:19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</row>
    <row r="583" spans="1:19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</row>
    <row r="584" spans="1:19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</row>
    <row r="585" spans="1:19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</row>
    <row r="586" spans="1:19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</row>
    <row r="587" spans="1:19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</row>
    <row r="588" spans="1:19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</row>
    <row r="589" spans="1:19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</row>
    <row r="590" spans="1:19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</row>
    <row r="591" spans="1:19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</row>
    <row r="592" spans="1:19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</row>
    <row r="593" spans="1:19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</row>
    <row r="594" spans="1:19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</row>
    <row r="595" spans="1:19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</row>
    <row r="596" spans="1:19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</row>
    <row r="597" spans="1:19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</row>
    <row r="598" spans="1:19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</row>
    <row r="599" spans="1:19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</row>
    <row r="600" spans="1:19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</row>
    <row r="601" spans="1:19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</row>
    <row r="602" spans="1:19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</row>
    <row r="603" spans="1:19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</row>
    <row r="604" spans="1:19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</row>
    <row r="605" spans="1:19">
      <c r="A605" s="23"/>
      <c r="B605" s="23"/>
      <c r="C605" s="23"/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</row>
    <row r="606" spans="1:19">
      <c r="A606" s="23"/>
      <c r="B606" s="23"/>
      <c r="C606" s="23"/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</row>
    <row r="607" spans="1:19">
      <c r="A607" s="23"/>
      <c r="B607" s="23"/>
      <c r="C607" s="23"/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</row>
    <row r="608" spans="1:19">
      <c r="A608" s="23"/>
      <c r="B608" s="23"/>
      <c r="C608" s="23"/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</row>
    <row r="609" spans="1:19">
      <c r="A609" s="23"/>
      <c r="B609" s="23"/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</row>
    <row r="610" spans="1:19">
      <c r="A610" s="23"/>
      <c r="B610" s="23"/>
      <c r="C610" s="23"/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</row>
    <row r="611" spans="1:19">
      <c r="A611" s="23"/>
      <c r="B611" s="23"/>
      <c r="C611" s="23"/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</row>
    <row r="612" spans="1:19">
      <c r="A612" s="23"/>
      <c r="B612" s="23"/>
      <c r="C612" s="23"/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</row>
    <row r="613" spans="1:19">
      <c r="A613" s="23"/>
      <c r="B613" s="23"/>
      <c r="C613" s="23"/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</row>
    <row r="614" spans="1:19">
      <c r="A614" s="23"/>
      <c r="B614" s="23"/>
      <c r="C614" s="23"/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</row>
    <row r="615" spans="1:19">
      <c r="A615" s="23"/>
      <c r="B615" s="23"/>
      <c r="C615" s="23"/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</row>
    <row r="616" spans="1:19">
      <c r="A616" s="23"/>
      <c r="B616" s="23"/>
      <c r="C616" s="23"/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</row>
    <row r="617" spans="1:19">
      <c r="A617" s="23"/>
      <c r="B617" s="23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</row>
    <row r="618" spans="1:19">
      <c r="A618" s="23"/>
      <c r="B618" s="23"/>
      <c r="C618" s="23"/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</row>
    <row r="619" spans="1:19">
      <c r="A619" s="23"/>
      <c r="B619" s="23"/>
      <c r="C619" s="23"/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</row>
    <row r="620" spans="1:19">
      <c r="A620" s="23"/>
      <c r="B620" s="23"/>
      <c r="C620" s="23"/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</row>
    <row r="621" spans="1:19">
      <c r="A621" s="23"/>
      <c r="B621" s="23"/>
      <c r="C621" s="23"/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</row>
    <row r="622" spans="1:19">
      <c r="A622" s="23"/>
      <c r="B622" s="23"/>
      <c r="C622" s="23"/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</row>
    <row r="623" spans="1:19">
      <c r="A623" s="23"/>
      <c r="B623" s="23"/>
      <c r="C623" s="23"/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</row>
    <row r="624" spans="1:19">
      <c r="A624" s="23"/>
      <c r="B624" s="23"/>
      <c r="C624" s="23"/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</row>
    <row r="625" spans="1:19">
      <c r="A625" s="23"/>
      <c r="B625" s="23"/>
      <c r="C625" s="23"/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</row>
    <row r="626" spans="1:19">
      <c r="A626" s="23"/>
      <c r="B626" s="23"/>
      <c r="C626" s="23"/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</row>
    <row r="627" spans="1:19">
      <c r="A627" s="23"/>
      <c r="B627" s="23"/>
      <c r="C627" s="23"/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</row>
    <row r="628" spans="1:19">
      <c r="A628" s="23"/>
      <c r="B628" s="23"/>
      <c r="C628" s="23"/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</row>
    <row r="629" spans="1:19">
      <c r="A629" s="23"/>
      <c r="B629" s="23"/>
      <c r="C629" s="23"/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</row>
    <row r="630" spans="1:19">
      <c r="A630" s="23"/>
      <c r="B630" s="23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</row>
    <row r="631" spans="1:19">
      <c r="A631" s="23"/>
      <c r="B631" s="23"/>
      <c r="C631" s="23"/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</row>
    <row r="632" spans="1:19">
      <c r="A632" s="23"/>
      <c r="B632" s="23"/>
      <c r="C632" s="23"/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</row>
    <row r="633" spans="1:19">
      <c r="A633" s="23"/>
      <c r="B633" s="23"/>
      <c r="C633" s="23"/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</row>
    <row r="634" spans="1:19">
      <c r="A634" s="23"/>
      <c r="B634" s="23"/>
      <c r="C634" s="23"/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</row>
    <row r="635" spans="1:19">
      <c r="A635" s="23"/>
      <c r="B635" s="23"/>
      <c r="C635" s="23"/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</row>
    <row r="636" spans="1:19">
      <c r="A636" s="23"/>
      <c r="B636" s="23"/>
      <c r="C636" s="23"/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</row>
    <row r="637" spans="1:19">
      <c r="A637" s="23"/>
      <c r="B637" s="23"/>
      <c r="C637" s="23"/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</row>
    <row r="638" spans="1:19">
      <c r="A638" s="23"/>
      <c r="B638" s="23"/>
      <c r="C638" s="23"/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</row>
    <row r="639" spans="1:19">
      <c r="A639" s="23"/>
      <c r="B639" s="23"/>
      <c r="C639" s="23"/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</row>
    <row r="640" spans="1:19">
      <c r="A640" s="23"/>
      <c r="B640" s="23"/>
      <c r="C640" s="23"/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</row>
    <row r="641" spans="1:19">
      <c r="A641" s="23"/>
      <c r="B641" s="23"/>
      <c r="C641" s="23"/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</row>
    <row r="642" spans="1:19">
      <c r="A642" s="23"/>
      <c r="B642" s="23"/>
      <c r="C642" s="23"/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</row>
    <row r="643" spans="1:19">
      <c r="A643" s="23"/>
      <c r="B643" s="23"/>
      <c r="C643" s="23"/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</row>
    <row r="644" spans="1:19">
      <c r="A644" s="23"/>
      <c r="B644" s="23"/>
      <c r="C644" s="23"/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</row>
    <row r="645" spans="1:19">
      <c r="A645" s="23"/>
      <c r="B645" s="23"/>
      <c r="C645" s="23"/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</row>
    <row r="646" spans="1:19">
      <c r="A646" s="23"/>
      <c r="B646" s="23"/>
      <c r="C646" s="23"/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</row>
    <row r="647" spans="1:19">
      <c r="A647" s="23"/>
      <c r="B647" s="23"/>
      <c r="C647" s="23"/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</row>
    <row r="648" spans="1:19">
      <c r="A648" s="23"/>
      <c r="B648" s="23"/>
      <c r="C648" s="23"/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</row>
    <row r="649" spans="1:19">
      <c r="A649" s="23"/>
      <c r="B649" s="23"/>
      <c r="C649" s="23"/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</row>
    <row r="650" spans="1:19">
      <c r="A650" s="23"/>
      <c r="B650" s="23"/>
      <c r="C650" s="23"/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</row>
    <row r="651" spans="1:19">
      <c r="A651" s="23"/>
      <c r="B651" s="23"/>
      <c r="C651" s="23"/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</row>
    <row r="652" spans="1:19">
      <c r="A652" s="23"/>
      <c r="B652" s="23"/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</row>
    <row r="653" spans="1:19">
      <c r="A653" s="23"/>
      <c r="B653" s="23"/>
      <c r="C653" s="23"/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</row>
    <row r="654" spans="1:19">
      <c r="A654" s="23"/>
      <c r="B654" s="23"/>
      <c r="C654" s="23"/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</row>
    <row r="655" spans="1:19">
      <c r="A655" s="23"/>
      <c r="B655" s="23"/>
      <c r="C655" s="23"/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</row>
    <row r="656" spans="1:19">
      <c r="A656" s="23"/>
      <c r="B656" s="23"/>
      <c r="C656" s="23"/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</row>
    <row r="657" spans="1:19">
      <c r="A657" s="23"/>
      <c r="B657" s="23"/>
      <c r="C657" s="23"/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</row>
    <row r="658" spans="1:19">
      <c r="A658" s="23"/>
      <c r="B658" s="23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</row>
    <row r="659" spans="1:19">
      <c r="A659" s="23"/>
      <c r="B659" s="23"/>
      <c r="C659" s="23"/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</row>
    <row r="660" spans="1:19">
      <c r="A660" s="23"/>
      <c r="B660" s="23"/>
      <c r="C660" s="23"/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</row>
    <row r="661" spans="1:19">
      <c r="A661" s="23"/>
      <c r="B661" s="23"/>
      <c r="C661" s="23"/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</row>
    <row r="662" spans="1:19">
      <c r="A662" s="23"/>
      <c r="B662" s="23"/>
      <c r="C662" s="23"/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</row>
    <row r="663" spans="1:19">
      <c r="A663" s="23"/>
      <c r="B663" s="23"/>
      <c r="C663" s="23"/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</row>
    <row r="664" spans="1:19">
      <c r="A664" s="23"/>
      <c r="B664" s="23"/>
      <c r="C664" s="23"/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</row>
    <row r="665" spans="1:19">
      <c r="A665" s="23"/>
      <c r="B665" s="23"/>
      <c r="C665" s="23"/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</row>
    <row r="666" spans="1:19">
      <c r="A666" s="23"/>
      <c r="B666" s="23"/>
      <c r="C666" s="23"/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</row>
    <row r="667" spans="1:19">
      <c r="A667" s="23"/>
      <c r="B667" s="23"/>
      <c r="C667" s="23"/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</row>
    <row r="668" spans="1:19">
      <c r="A668" s="23"/>
      <c r="B668" s="23"/>
      <c r="C668" s="23"/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</row>
    <row r="669" spans="1:19">
      <c r="A669" s="23"/>
      <c r="B669" s="23"/>
      <c r="C669" s="23"/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</row>
    <row r="670" spans="1:19">
      <c r="A670" s="23"/>
      <c r="B670" s="23"/>
      <c r="C670" s="23"/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</row>
    <row r="671" spans="1:19">
      <c r="A671" s="23"/>
      <c r="B671" s="23"/>
      <c r="C671" s="23"/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</row>
    <row r="672" spans="1:19">
      <c r="A672" s="23"/>
      <c r="B672" s="23"/>
      <c r="C672" s="23"/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</row>
    <row r="673" spans="1:19">
      <c r="A673" s="23"/>
      <c r="B673" s="23"/>
      <c r="C673" s="23"/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</row>
    <row r="674" spans="1:19">
      <c r="A674" s="23"/>
      <c r="B674" s="23"/>
      <c r="C674" s="23"/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</row>
    <row r="675" spans="1:19">
      <c r="A675" s="23"/>
      <c r="B675" s="23"/>
      <c r="C675" s="23"/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</row>
    <row r="676" spans="1:19">
      <c r="A676" s="23"/>
      <c r="B676" s="23"/>
      <c r="C676" s="23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</row>
    <row r="677" spans="1:19">
      <c r="A677" s="23"/>
      <c r="B677" s="23"/>
      <c r="C677" s="23"/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</row>
    <row r="678" spans="1:19">
      <c r="A678" s="23"/>
      <c r="B678" s="23"/>
      <c r="C678" s="23"/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</row>
    <row r="679" spans="1:19">
      <c r="A679" s="23"/>
      <c r="B679" s="23"/>
      <c r="C679" s="23"/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</row>
    <row r="680" spans="1:19">
      <c r="A680" s="23"/>
      <c r="B680" s="23"/>
      <c r="C680" s="23"/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</row>
    <row r="681" spans="1:19">
      <c r="A681" s="23"/>
      <c r="B681" s="23"/>
      <c r="C681" s="23"/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</row>
    <row r="682" spans="1:19">
      <c r="A682" s="23"/>
      <c r="B682" s="23"/>
      <c r="C682" s="23"/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</row>
    <row r="683" spans="1:19">
      <c r="A683" s="23"/>
      <c r="B683" s="23"/>
      <c r="C683" s="23"/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</row>
    <row r="684" spans="1:19">
      <c r="A684" s="23"/>
      <c r="B684" s="23"/>
      <c r="C684" s="23"/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</row>
    <row r="685" spans="1:19">
      <c r="A685" s="23"/>
      <c r="B685" s="23"/>
      <c r="C685" s="23"/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</row>
    <row r="686" spans="1:19">
      <c r="A686" s="23"/>
      <c r="B686" s="23"/>
      <c r="C686" s="23"/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</row>
    <row r="687" spans="1:19">
      <c r="A687" s="23"/>
      <c r="B687" s="23"/>
      <c r="C687" s="23"/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</row>
    <row r="688" spans="1:19">
      <c r="A688" s="23"/>
      <c r="B688" s="23"/>
      <c r="C688" s="23"/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</row>
    <row r="689" spans="1:19">
      <c r="A689" s="23"/>
      <c r="B689" s="23"/>
      <c r="C689" s="23"/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</row>
    <row r="690" spans="1:19">
      <c r="A690" s="23"/>
      <c r="B690" s="23"/>
      <c r="C690" s="23"/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</row>
    <row r="691" spans="1:19">
      <c r="A691" s="23"/>
      <c r="B691" s="23"/>
      <c r="C691" s="23"/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</row>
    <row r="692" spans="1:19">
      <c r="A692" s="23"/>
      <c r="B692" s="23"/>
      <c r="C692" s="23"/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</row>
    <row r="693" spans="1:19">
      <c r="A693" s="23"/>
      <c r="B693" s="23"/>
      <c r="C693" s="23"/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</row>
    <row r="694" spans="1:19">
      <c r="A694" s="23"/>
      <c r="B694" s="23"/>
      <c r="C694" s="23"/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</row>
    <row r="695" spans="1:19">
      <c r="A695" s="23"/>
      <c r="B695" s="23"/>
      <c r="C695" s="23"/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</row>
    <row r="696" spans="1:19">
      <c r="A696" s="23"/>
      <c r="B696" s="23"/>
      <c r="C696" s="23"/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</row>
    <row r="697" spans="1:19">
      <c r="A697" s="23"/>
      <c r="B697" s="23"/>
      <c r="C697" s="23"/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</row>
    <row r="698" spans="1:19">
      <c r="A698" s="23"/>
      <c r="B698" s="23"/>
      <c r="C698" s="23"/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</row>
    <row r="699" spans="1:19">
      <c r="A699" s="23"/>
      <c r="B699" s="23"/>
      <c r="C699" s="23"/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</row>
    <row r="700" spans="1:19">
      <c r="A700" s="23"/>
      <c r="B700" s="23"/>
      <c r="C700" s="23"/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</row>
    <row r="701" spans="1:19">
      <c r="A701" s="23"/>
      <c r="B701" s="23"/>
      <c r="C701" s="23"/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</row>
    <row r="702" spans="1:19">
      <c r="A702" s="23"/>
      <c r="B702" s="23"/>
      <c r="C702" s="23"/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</row>
    <row r="703" spans="1:19">
      <c r="A703" s="23"/>
      <c r="B703" s="23"/>
      <c r="C703" s="23"/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</row>
    <row r="704" spans="1:19">
      <c r="A704" s="23"/>
      <c r="B704" s="23"/>
      <c r="C704" s="23"/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</row>
    <row r="705" spans="1:19">
      <c r="A705" s="23"/>
      <c r="B705" s="23"/>
      <c r="C705" s="23"/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</row>
    <row r="706" spans="1:19">
      <c r="A706" s="23"/>
      <c r="B706" s="23"/>
      <c r="C706" s="23"/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</row>
    <row r="707" spans="1:19">
      <c r="A707" s="23"/>
      <c r="B707" s="23"/>
      <c r="C707" s="23"/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</row>
    <row r="708" spans="1:19">
      <c r="A708" s="23"/>
      <c r="B708" s="23"/>
      <c r="C708" s="23"/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</row>
    <row r="709" spans="1:19">
      <c r="A709" s="23"/>
      <c r="B709" s="23"/>
      <c r="C709" s="23"/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</row>
    <row r="710" spans="1:19">
      <c r="A710" s="23"/>
      <c r="B710" s="23"/>
      <c r="C710" s="23"/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</row>
    <row r="711" spans="1:19">
      <c r="A711" s="23"/>
      <c r="B711" s="23"/>
      <c r="C711" s="23"/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</row>
    <row r="712" spans="1:19">
      <c r="A712" s="23"/>
      <c r="B712" s="23"/>
      <c r="C712" s="23"/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</row>
    <row r="713" spans="1:19">
      <c r="A713" s="23"/>
      <c r="B713" s="23"/>
      <c r="C713" s="23"/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</row>
    <row r="714" spans="1:19">
      <c r="A714" s="23"/>
      <c r="B714" s="23"/>
      <c r="C714" s="23"/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</row>
    <row r="715" spans="1:19">
      <c r="A715" s="23"/>
      <c r="B715" s="23"/>
      <c r="C715" s="23"/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</row>
    <row r="716" spans="1:19">
      <c r="A716" s="23"/>
      <c r="B716" s="23"/>
      <c r="C716" s="23"/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</row>
    <row r="717" spans="1:19">
      <c r="A717" s="23"/>
      <c r="B717" s="23"/>
      <c r="C717" s="23"/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</row>
    <row r="718" spans="1:19">
      <c r="A718" s="23"/>
      <c r="B718" s="23"/>
      <c r="C718" s="23"/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</row>
    <row r="719" spans="1:19">
      <c r="A719" s="23"/>
      <c r="B719" s="23"/>
      <c r="C719" s="23"/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</row>
    <row r="720" spans="1:19">
      <c r="A720" s="23"/>
      <c r="B720" s="23"/>
      <c r="C720" s="23"/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</row>
    <row r="721" spans="1:19">
      <c r="A721" s="23"/>
      <c r="B721" s="23"/>
      <c r="C721" s="23"/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</row>
    <row r="722" spans="1:19">
      <c r="A722" s="23"/>
      <c r="B722" s="23"/>
      <c r="C722" s="23"/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</row>
    <row r="723" spans="1:19">
      <c r="A723" s="23"/>
      <c r="B723" s="23"/>
      <c r="C723" s="23"/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</row>
    <row r="724" spans="1:19">
      <c r="A724" s="23"/>
      <c r="B724" s="23"/>
      <c r="C724" s="23"/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</row>
    <row r="725" spans="1:19">
      <c r="A725" s="23"/>
      <c r="B725" s="23"/>
      <c r="C725" s="23"/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</row>
    <row r="726" spans="1:19">
      <c r="A726" s="23"/>
      <c r="B726" s="23"/>
      <c r="C726" s="23"/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</row>
    <row r="727" spans="1:19">
      <c r="A727" s="23"/>
      <c r="B727" s="23"/>
      <c r="C727" s="23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</row>
    <row r="728" spans="1:19">
      <c r="A728" s="23"/>
      <c r="B728" s="23"/>
      <c r="C728" s="23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</row>
    <row r="729" spans="1:19">
      <c r="A729" s="23"/>
      <c r="B729" s="23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</row>
    <row r="730" spans="1:19">
      <c r="A730" s="23"/>
      <c r="B730" s="23"/>
      <c r="C730" s="23"/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</row>
    <row r="731" spans="1:19">
      <c r="A731" s="23"/>
      <c r="B731" s="23"/>
      <c r="C731" s="23"/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</row>
    <row r="732" spans="1:19">
      <c r="A732" s="23"/>
      <c r="B732" s="23"/>
      <c r="C732" s="23"/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</row>
    <row r="733" spans="1:19">
      <c r="A733" s="23"/>
      <c r="B733" s="23"/>
      <c r="C733" s="23"/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</row>
    <row r="734" spans="1:19">
      <c r="A734" s="23"/>
      <c r="B734" s="23"/>
      <c r="C734" s="23"/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</row>
    <row r="735" spans="1:19">
      <c r="A735" s="23"/>
      <c r="B735" s="23"/>
      <c r="C735" s="23"/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</row>
    <row r="736" spans="1:19">
      <c r="A736" s="23"/>
      <c r="B736" s="23"/>
      <c r="C736" s="23"/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</row>
    <row r="737" spans="1:19">
      <c r="A737" s="23"/>
      <c r="B737" s="23"/>
      <c r="C737" s="23"/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</row>
    <row r="738" spans="1:19">
      <c r="A738" s="23"/>
      <c r="B738" s="23"/>
      <c r="C738" s="23"/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</row>
    <row r="739" spans="1:19">
      <c r="A739" s="23"/>
      <c r="B739" s="23"/>
      <c r="C739" s="23"/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</row>
    <row r="740" spans="1:19">
      <c r="A740" s="23"/>
      <c r="B740" s="23"/>
      <c r="C740" s="23"/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</row>
    <row r="741" spans="1:19">
      <c r="A741" s="23"/>
      <c r="B741" s="23"/>
      <c r="C741" s="23"/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</row>
    <row r="742" spans="1:19">
      <c r="A742" s="23"/>
      <c r="B742" s="23"/>
      <c r="C742" s="23"/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</row>
    <row r="743" spans="1:19">
      <c r="A743" s="23"/>
      <c r="B743" s="23"/>
      <c r="C743" s="23"/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</row>
    <row r="744" spans="1:19">
      <c r="A744" s="23"/>
      <c r="B744" s="23"/>
      <c r="C744" s="23"/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</row>
    <row r="745" spans="1:19">
      <c r="A745" s="23"/>
      <c r="B745" s="23"/>
      <c r="C745" s="23"/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</row>
    <row r="746" spans="1:19">
      <c r="A746" s="23"/>
      <c r="B746" s="23"/>
      <c r="C746" s="23"/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</row>
    <row r="747" spans="1:19">
      <c r="A747" s="23"/>
      <c r="B747" s="23"/>
      <c r="C747" s="23"/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</row>
    <row r="748" spans="1:19">
      <c r="A748" s="23"/>
      <c r="B748" s="23"/>
      <c r="C748" s="23"/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</row>
    <row r="749" spans="1:19">
      <c r="A749" s="23"/>
      <c r="B749" s="23"/>
      <c r="C749" s="23"/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</row>
    <row r="750" spans="1:19">
      <c r="A750" s="23"/>
      <c r="B750" s="23"/>
      <c r="C750" s="23"/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</row>
    <row r="751" spans="1:19">
      <c r="A751" s="23"/>
      <c r="B751" s="23"/>
      <c r="C751" s="23"/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</row>
    <row r="752" spans="1:19">
      <c r="A752" s="23"/>
      <c r="B752" s="23"/>
      <c r="C752" s="23"/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</row>
    <row r="753" spans="1:19">
      <c r="A753" s="23"/>
      <c r="B753" s="23"/>
      <c r="C753" s="23"/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</row>
    <row r="754" spans="1:19">
      <c r="A754" s="23"/>
      <c r="B754" s="23"/>
      <c r="C754" s="23"/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</row>
    <row r="755" spans="1:19">
      <c r="A755" s="23"/>
      <c r="B755" s="23"/>
      <c r="C755" s="23"/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</row>
    <row r="756" spans="1:19">
      <c r="A756" s="23"/>
      <c r="B756" s="23"/>
      <c r="C756" s="23"/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</row>
    <row r="757" spans="1:19">
      <c r="A757" s="23"/>
      <c r="B757" s="23"/>
      <c r="C757" s="23"/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</row>
    <row r="758" spans="1:19">
      <c r="A758" s="23"/>
      <c r="B758" s="23"/>
      <c r="C758" s="23"/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</row>
    <row r="759" spans="1:19">
      <c r="A759" s="23"/>
      <c r="B759" s="23"/>
      <c r="C759" s="23"/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</row>
    <row r="760" spans="1:19">
      <c r="A760" s="23"/>
      <c r="B760" s="23"/>
      <c r="C760" s="23"/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</row>
    <row r="761" spans="1:19">
      <c r="A761" s="23"/>
      <c r="B761" s="23"/>
      <c r="C761" s="23"/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</row>
    <row r="762" spans="1:19">
      <c r="A762" s="23"/>
      <c r="B762" s="23"/>
      <c r="C762" s="23"/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</row>
    <row r="763" spans="1:19">
      <c r="A763" s="23"/>
      <c r="B763" s="23"/>
      <c r="C763" s="23"/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</row>
    <row r="764" spans="1:19">
      <c r="A764" s="23"/>
      <c r="B764" s="23"/>
      <c r="C764" s="23"/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</row>
    <row r="765" spans="1:19">
      <c r="A765" s="23"/>
      <c r="B765" s="23"/>
      <c r="C765" s="23"/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</row>
    <row r="766" spans="1:19">
      <c r="A766" s="23"/>
      <c r="B766" s="23"/>
      <c r="C766" s="23"/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</row>
    <row r="767" spans="1:19">
      <c r="A767" s="23"/>
      <c r="B767" s="23"/>
      <c r="C767" s="23"/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</row>
    <row r="768" spans="1:19">
      <c r="A768" s="23"/>
      <c r="B768" s="23"/>
      <c r="C768" s="23"/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</row>
    <row r="769" spans="1:19">
      <c r="A769" s="23"/>
      <c r="B769" s="23"/>
      <c r="C769" s="23"/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</row>
    <row r="770" spans="1:19">
      <c r="A770" s="23"/>
      <c r="B770" s="23"/>
      <c r="C770" s="23"/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</row>
    <row r="771" spans="1:19">
      <c r="A771" s="23"/>
      <c r="B771" s="23"/>
      <c r="C771" s="23"/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</row>
    <row r="772" spans="1:19">
      <c r="A772" s="23"/>
      <c r="B772" s="23"/>
      <c r="C772" s="23"/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</row>
    <row r="773" spans="1:19">
      <c r="A773" s="23"/>
      <c r="B773" s="23"/>
      <c r="C773" s="23"/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</row>
    <row r="774" spans="1:19">
      <c r="A774" s="23"/>
      <c r="B774" s="23"/>
      <c r="C774" s="23"/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</row>
    <row r="775" spans="1:19">
      <c r="A775" s="23"/>
      <c r="B775" s="23"/>
      <c r="C775" s="23"/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</row>
    <row r="776" spans="1:19">
      <c r="A776" s="23"/>
      <c r="B776" s="23"/>
      <c r="C776" s="23"/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</row>
    <row r="777" spans="1:19">
      <c r="A777" s="23"/>
      <c r="B777" s="23"/>
      <c r="C777" s="23"/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</row>
    <row r="778" spans="1:19">
      <c r="A778" s="23"/>
      <c r="B778" s="23"/>
      <c r="C778" s="23"/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</row>
    <row r="779" spans="1:19">
      <c r="A779" s="23"/>
      <c r="B779" s="23"/>
      <c r="C779" s="23"/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</row>
    <row r="780" spans="1:19">
      <c r="A780" s="23"/>
      <c r="B780" s="23"/>
      <c r="C780" s="23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</row>
    <row r="781" spans="1:19">
      <c r="A781" s="23"/>
      <c r="B781" s="23"/>
      <c r="C781" s="23"/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</row>
    <row r="782" spans="1:19">
      <c r="A782" s="23"/>
      <c r="B782" s="23"/>
      <c r="C782" s="23"/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</row>
    <row r="783" spans="1:19">
      <c r="A783" s="23"/>
      <c r="B783" s="23"/>
      <c r="C783" s="23"/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</row>
    <row r="784" spans="1:19">
      <c r="A784" s="23"/>
      <c r="B784" s="23"/>
      <c r="C784" s="23"/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</row>
    <row r="785" spans="1:19">
      <c r="A785" s="23"/>
      <c r="B785" s="23"/>
      <c r="C785" s="23"/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</row>
    <row r="786" spans="1:19">
      <c r="A786" s="23"/>
      <c r="B786" s="23"/>
      <c r="C786" s="23"/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</row>
    <row r="787" spans="1:19">
      <c r="A787" s="23"/>
      <c r="B787" s="23"/>
      <c r="C787" s="23"/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</row>
    <row r="788" spans="1:19">
      <c r="A788" s="23"/>
      <c r="B788" s="23"/>
      <c r="C788" s="23"/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</row>
    <row r="789" spans="1:19">
      <c r="A789" s="23"/>
      <c r="B789" s="23"/>
      <c r="C789" s="23"/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</row>
    <row r="790" spans="1:19">
      <c r="A790" s="23"/>
      <c r="B790" s="23"/>
      <c r="C790" s="23"/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</row>
    <row r="791" spans="1:19">
      <c r="A791" s="23"/>
      <c r="B791" s="23"/>
      <c r="C791" s="23"/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</row>
    <row r="792" spans="1:19">
      <c r="A792" s="23"/>
      <c r="B792" s="23"/>
      <c r="C792" s="23"/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</row>
    <row r="793" spans="1:19">
      <c r="A793" s="23"/>
      <c r="B793" s="23"/>
      <c r="C793" s="23"/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</row>
    <row r="794" spans="1:19">
      <c r="A794" s="23"/>
      <c r="B794" s="23"/>
      <c r="C794" s="23"/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</row>
    <row r="795" spans="1:19">
      <c r="A795" s="23"/>
      <c r="B795" s="23"/>
      <c r="C795" s="23"/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</row>
    <row r="796" spans="1:19">
      <c r="A796" s="23"/>
      <c r="B796" s="23"/>
      <c r="C796" s="23"/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</row>
    <row r="797" spans="1:19">
      <c r="A797" s="23"/>
      <c r="B797" s="23"/>
      <c r="C797" s="23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</row>
    <row r="798" spans="1:19">
      <c r="A798" s="23"/>
      <c r="B798" s="23"/>
      <c r="C798" s="23"/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</row>
    <row r="799" spans="1:19">
      <c r="A799" s="23"/>
      <c r="B799" s="23"/>
      <c r="C799" s="23"/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</row>
    <row r="800" spans="1:19">
      <c r="A800" s="23"/>
      <c r="B800" s="23"/>
      <c r="C800" s="23"/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</row>
    <row r="801" spans="1:19">
      <c r="A801" s="23"/>
      <c r="B801" s="23"/>
      <c r="C801" s="23"/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</row>
    <row r="802" spans="1:19">
      <c r="A802" s="23"/>
      <c r="B802" s="23"/>
      <c r="C802" s="23"/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</row>
    <row r="803" spans="1:19">
      <c r="A803" s="23"/>
      <c r="B803" s="23"/>
      <c r="C803" s="23"/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</row>
    <row r="804" spans="1:19">
      <c r="A804" s="23"/>
      <c r="B804" s="23"/>
      <c r="C804" s="23"/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</row>
    <row r="805" spans="1:19">
      <c r="A805" s="23"/>
      <c r="B805" s="23"/>
      <c r="C805" s="23"/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</row>
    <row r="806" spans="1:19">
      <c r="A806" s="23"/>
      <c r="B806" s="23"/>
      <c r="C806" s="23"/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</row>
    <row r="807" spans="1:19">
      <c r="A807" s="23"/>
      <c r="B807" s="23"/>
      <c r="C807" s="23"/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</row>
    <row r="808" spans="1:19">
      <c r="A808" s="23"/>
      <c r="B808" s="23"/>
      <c r="C808" s="23"/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</row>
    <row r="809" spans="1:19">
      <c r="A809" s="23"/>
      <c r="B809" s="23"/>
      <c r="C809" s="23"/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</row>
    <row r="810" spans="1:19">
      <c r="A810" s="23"/>
      <c r="B810" s="23"/>
      <c r="C810" s="23"/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</row>
    <row r="811" spans="1:19">
      <c r="A811" s="23"/>
      <c r="B811" s="23"/>
      <c r="C811" s="23"/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</row>
    <row r="812" spans="1:19">
      <c r="A812" s="23"/>
      <c r="B812" s="23"/>
      <c r="C812" s="23"/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</row>
    <row r="813" spans="1:19">
      <c r="A813" s="23"/>
      <c r="B813" s="23"/>
      <c r="C813" s="23"/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</row>
    <row r="814" spans="1:19">
      <c r="A814" s="23"/>
      <c r="B814" s="23"/>
      <c r="C814" s="23"/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</row>
    <row r="815" spans="1:19">
      <c r="A815" s="23"/>
      <c r="B815" s="23"/>
      <c r="C815" s="23"/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</row>
    <row r="816" spans="1:19">
      <c r="A816" s="23"/>
      <c r="B816" s="23"/>
      <c r="C816" s="23"/>
      <c r="D816" s="23"/>
      <c r="E816" s="23"/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</row>
    <row r="817" spans="1:19">
      <c r="A817" s="23"/>
      <c r="B817" s="23"/>
      <c r="C817" s="23"/>
      <c r="D817" s="23"/>
      <c r="E817" s="23"/>
      <c r="F817" s="23"/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</row>
    <row r="818" spans="1:19">
      <c r="A818" s="23"/>
      <c r="B818" s="23"/>
      <c r="C818" s="23"/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</row>
    <row r="819" spans="1:19">
      <c r="A819" s="23"/>
      <c r="B819" s="23"/>
      <c r="C819" s="23"/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</row>
    <row r="820" spans="1:19">
      <c r="A820" s="23"/>
      <c r="B820" s="23"/>
      <c r="C820" s="23"/>
      <c r="D820" s="23"/>
      <c r="E820" s="23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</row>
    <row r="821" spans="1:19">
      <c r="A821" s="23"/>
      <c r="B821" s="23"/>
      <c r="C821" s="23"/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</row>
    <row r="822" spans="1:19">
      <c r="A822" s="23"/>
      <c r="B822" s="23"/>
      <c r="C822" s="23"/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</row>
    <row r="823" spans="1:19">
      <c r="A823" s="23"/>
      <c r="B823" s="23"/>
      <c r="C823" s="23"/>
      <c r="D823" s="23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</row>
    <row r="824" spans="1:19">
      <c r="A824" s="23"/>
      <c r="B824" s="23"/>
      <c r="C824" s="23"/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</row>
    <row r="825" spans="1:19">
      <c r="A825" s="23"/>
      <c r="B825" s="23"/>
      <c r="C825" s="23"/>
      <c r="D825" s="23"/>
      <c r="E825" s="23"/>
      <c r="F825" s="23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</row>
    <row r="826" spans="1:19">
      <c r="A826" s="23"/>
      <c r="B826" s="23"/>
      <c r="C826" s="23"/>
      <c r="D826" s="23"/>
      <c r="E826" s="23"/>
      <c r="F826" s="23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</row>
    <row r="827" spans="1:19">
      <c r="A827" s="23"/>
      <c r="B827" s="23"/>
      <c r="C827" s="23"/>
      <c r="D827" s="23"/>
      <c r="E827" s="23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</row>
    <row r="828" spans="1:19">
      <c r="A828" s="23"/>
      <c r="B828" s="23"/>
      <c r="C828" s="23"/>
      <c r="D828" s="23"/>
      <c r="E828" s="23"/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</row>
    <row r="829" spans="1:19">
      <c r="A829" s="23"/>
      <c r="B829" s="23"/>
      <c r="C829" s="23"/>
      <c r="D829" s="23"/>
      <c r="E829" s="23"/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</row>
    <row r="830" spans="1:19">
      <c r="A830" s="23"/>
      <c r="B830" s="23"/>
      <c r="C830" s="23"/>
      <c r="D830" s="23"/>
      <c r="E830" s="23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</row>
    <row r="831" spans="1:19">
      <c r="A831" s="23"/>
      <c r="B831" s="23"/>
      <c r="C831" s="23"/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</row>
    <row r="832" spans="1:19">
      <c r="A832" s="23"/>
      <c r="B832" s="23"/>
      <c r="C832" s="23"/>
      <c r="D832" s="23"/>
      <c r="E832" s="23"/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</row>
    <row r="833" spans="1:19">
      <c r="A833" s="23"/>
      <c r="B833" s="23"/>
      <c r="C833" s="23"/>
      <c r="D833" s="23"/>
      <c r="E833" s="23"/>
      <c r="F833" s="23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</row>
    <row r="834" spans="1:19">
      <c r="A834" s="23"/>
      <c r="B834" s="23"/>
      <c r="C834" s="23"/>
      <c r="D834" s="23"/>
      <c r="E834" s="23"/>
      <c r="F834" s="23"/>
      <c r="G834" s="23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</row>
    <row r="835" spans="1:19">
      <c r="A835" s="23"/>
      <c r="B835" s="23"/>
      <c r="C835" s="23"/>
      <c r="D835" s="23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</row>
    <row r="836" spans="1:19">
      <c r="A836" s="23"/>
      <c r="B836" s="23"/>
      <c r="C836" s="23"/>
      <c r="D836" s="23"/>
      <c r="E836" s="23"/>
      <c r="F836" s="23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</row>
    <row r="837" spans="1:19">
      <c r="A837" s="23"/>
      <c r="B837" s="23"/>
      <c r="C837" s="23"/>
      <c r="D837" s="23"/>
      <c r="E837" s="23"/>
      <c r="F837" s="23"/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</row>
    <row r="838" spans="1:19">
      <c r="A838" s="23"/>
      <c r="B838" s="23"/>
      <c r="C838" s="23"/>
      <c r="D838" s="23"/>
      <c r="E838" s="23"/>
      <c r="F838" s="23"/>
      <c r="G838" s="23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</row>
    <row r="839" spans="1:19">
      <c r="A839" s="23"/>
      <c r="B839" s="23"/>
      <c r="C839" s="23"/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</row>
    <row r="840" spans="1:19">
      <c r="A840" s="23"/>
      <c r="B840" s="23"/>
      <c r="C840" s="23"/>
      <c r="D840" s="23"/>
      <c r="E840" s="23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</row>
    <row r="841" spans="1:19">
      <c r="A841" s="23"/>
      <c r="B841" s="23"/>
      <c r="C841" s="23"/>
      <c r="D841" s="23"/>
      <c r="E841" s="23"/>
      <c r="F841" s="23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</row>
    <row r="842" spans="1:19">
      <c r="A842" s="23"/>
      <c r="B842" s="23"/>
      <c r="C842" s="23"/>
      <c r="D842" s="23"/>
      <c r="E842" s="23"/>
      <c r="F842" s="23"/>
      <c r="G842" s="23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</row>
    <row r="843" spans="1:19">
      <c r="A843" s="23"/>
      <c r="B843" s="23"/>
      <c r="C843" s="23"/>
      <c r="D843" s="23"/>
      <c r="E843" s="23"/>
      <c r="F843" s="23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</row>
    <row r="844" spans="1:19">
      <c r="A844" s="23"/>
      <c r="B844" s="23"/>
      <c r="C844" s="23"/>
      <c r="D844" s="23"/>
      <c r="E844" s="23"/>
      <c r="F844" s="23"/>
      <c r="G844" s="23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</row>
    <row r="845" spans="1:19">
      <c r="A845" s="23"/>
      <c r="B845" s="23"/>
      <c r="C845" s="23"/>
      <c r="D845" s="23"/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</row>
    <row r="846" spans="1:19">
      <c r="A846" s="23"/>
      <c r="B846" s="23"/>
      <c r="C846" s="23"/>
      <c r="D846" s="23"/>
      <c r="E846" s="23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</row>
    <row r="847" spans="1:19">
      <c r="A847" s="23"/>
      <c r="B847" s="23"/>
      <c r="C847" s="23"/>
      <c r="D847" s="23"/>
      <c r="E847" s="23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</row>
    <row r="848" spans="1:19">
      <c r="A848" s="23"/>
      <c r="B848" s="23"/>
      <c r="C848" s="23"/>
      <c r="D848" s="23"/>
      <c r="E848" s="23"/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</row>
    <row r="849" spans="1:19">
      <c r="A849" s="23"/>
      <c r="B849" s="23"/>
      <c r="C849" s="23"/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</row>
    <row r="850" spans="1:19">
      <c r="A850" s="23"/>
      <c r="B850" s="23"/>
      <c r="C850" s="23"/>
      <c r="D850" s="23"/>
      <c r="E850" s="23"/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</row>
    <row r="851" spans="1:19">
      <c r="A851" s="23"/>
      <c r="B851" s="23"/>
      <c r="C851" s="23"/>
      <c r="D851" s="23"/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</row>
    <row r="852" spans="1:19">
      <c r="A852" s="23"/>
      <c r="B852" s="23"/>
      <c r="C852" s="23"/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</row>
    <row r="853" spans="1:19">
      <c r="A853" s="23"/>
      <c r="B853" s="23"/>
      <c r="C853" s="23"/>
      <c r="D853" s="23"/>
      <c r="E853" s="23"/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</row>
    <row r="854" spans="1:19">
      <c r="A854" s="23"/>
      <c r="B854" s="23"/>
      <c r="C854" s="23"/>
      <c r="D854" s="23"/>
      <c r="E854" s="23"/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</row>
    <row r="855" spans="1:19">
      <c r="A855" s="23"/>
      <c r="B855" s="23"/>
      <c r="C855" s="23"/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</row>
    <row r="856" spans="1:19">
      <c r="A856" s="23"/>
      <c r="B856" s="23"/>
      <c r="C856" s="23"/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</row>
    <row r="857" spans="1:19">
      <c r="A857" s="23"/>
      <c r="B857" s="23"/>
      <c r="C857" s="23"/>
      <c r="D857" s="23"/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</row>
    <row r="858" spans="1:19">
      <c r="A858" s="23"/>
      <c r="B858" s="23"/>
      <c r="C858" s="23"/>
      <c r="D858" s="23"/>
      <c r="E858" s="23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</row>
    <row r="859" spans="1:19">
      <c r="A859" s="23"/>
      <c r="B859" s="23"/>
      <c r="C859" s="23"/>
      <c r="D859" s="23"/>
      <c r="E859" s="23"/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</row>
    <row r="860" spans="1:19">
      <c r="A860" s="23"/>
      <c r="B860" s="23"/>
      <c r="C860" s="23"/>
      <c r="D860" s="23"/>
      <c r="E860" s="23"/>
      <c r="F860" s="23"/>
      <c r="G860" s="23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</row>
    <row r="861" spans="1:19">
      <c r="A861" s="23"/>
      <c r="B861" s="23"/>
      <c r="C861" s="23"/>
      <c r="D861" s="23"/>
      <c r="E861" s="23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</row>
    <row r="862" spans="1:19">
      <c r="A862" s="23"/>
      <c r="B862" s="23"/>
      <c r="C862" s="23"/>
      <c r="D862" s="23"/>
      <c r="E862" s="23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</row>
    <row r="863" spans="1:19">
      <c r="A863" s="23"/>
      <c r="B863" s="23"/>
      <c r="C863" s="23"/>
      <c r="D863" s="23"/>
      <c r="E863" s="23"/>
      <c r="F863" s="23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</row>
    <row r="864" spans="1:19">
      <c r="A864" s="23"/>
      <c r="B864" s="23"/>
      <c r="C864" s="23"/>
      <c r="D864" s="23"/>
      <c r="E864" s="23"/>
      <c r="F864" s="23"/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</row>
    <row r="865" spans="1:19">
      <c r="A865" s="23"/>
      <c r="B865" s="23"/>
      <c r="C865" s="23"/>
      <c r="D865" s="23"/>
      <c r="E865" s="23"/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</row>
    <row r="866" spans="1:19">
      <c r="A866" s="23"/>
      <c r="B866" s="23"/>
      <c r="C866" s="23"/>
      <c r="D866" s="23"/>
      <c r="E866" s="23"/>
      <c r="F866" s="23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</row>
    <row r="867" spans="1:19">
      <c r="A867" s="23"/>
      <c r="B867" s="23"/>
      <c r="C867" s="23"/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</row>
    <row r="868" spans="1:19">
      <c r="A868" s="23"/>
      <c r="B868" s="23"/>
      <c r="C868" s="23"/>
      <c r="D868" s="23"/>
      <c r="E868" s="23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</row>
    <row r="869" spans="1:19">
      <c r="A869" s="23"/>
      <c r="B869" s="23"/>
      <c r="C869" s="23"/>
      <c r="D869" s="23"/>
      <c r="E869" s="23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</row>
    <row r="870" spans="1:19">
      <c r="A870" s="23"/>
      <c r="B870" s="23"/>
      <c r="C870" s="23"/>
      <c r="D870" s="23"/>
      <c r="E870" s="23"/>
      <c r="F870" s="23"/>
      <c r="G870" s="23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</row>
    <row r="871" spans="1:19">
      <c r="A871" s="23"/>
      <c r="B871" s="23"/>
      <c r="C871" s="23"/>
      <c r="D871" s="23"/>
      <c r="E871" s="23"/>
      <c r="F871" s="23"/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</row>
    <row r="872" spans="1:19">
      <c r="A872" s="23"/>
      <c r="B872" s="23"/>
      <c r="C872" s="23"/>
      <c r="D872" s="23"/>
      <c r="E872" s="23"/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</row>
    <row r="873" spans="1:19">
      <c r="A873" s="23"/>
      <c r="B873" s="23"/>
      <c r="C873" s="23"/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</row>
    <row r="874" spans="1:19">
      <c r="A874" s="23"/>
      <c r="B874" s="23"/>
      <c r="C874" s="23"/>
      <c r="D874" s="23"/>
      <c r="E874" s="23"/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</row>
    <row r="875" spans="1:19">
      <c r="A875" s="23"/>
      <c r="B875" s="23"/>
      <c r="C875" s="23"/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</row>
    <row r="876" spans="1:19">
      <c r="A876" s="23"/>
      <c r="B876" s="23"/>
      <c r="C876" s="23"/>
      <c r="D876" s="23"/>
      <c r="E876" s="23"/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</row>
    <row r="877" spans="1:19">
      <c r="A877" s="23"/>
      <c r="B877" s="23"/>
      <c r="C877" s="23"/>
      <c r="D877" s="23"/>
      <c r="E877" s="23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</row>
    <row r="878" spans="1:19">
      <c r="A878" s="23"/>
      <c r="B878" s="23"/>
      <c r="C878" s="23"/>
      <c r="D878" s="23"/>
      <c r="E878" s="23"/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</row>
    <row r="879" spans="1:19">
      <c r="A879" s="23"/>
      <c r="B879" s="23"/>
      <c r="C879" s="23"/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</row>
    <row r="880" spans="1:19">
      <c r="A880" s="23"/>
      <c r="B880" s="23"/>
      <c r="C880" s="23"/>
      <c r="D880" s="23"/>
      <c r="E880" s="23"/>
      <c r="F880" s="23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</row>
    <row r="881" spans="1:19">
      <c r="A881" s="23"/>
      <c r="B881" s="23"/>
      <c r="C881" s="23"/>
      <c r="D881" s="23"/>
      <c r="E881" s="23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</row>
    <row r="882" spans="1:19">
      <c r="A882" s="23"/>
      <c r="B882" s="23"/>
      <c r="C882" s="23"/>
      <c r="D882" s="23"/>
      <c r="E882" s="23"/>
      <c r="F882" s="23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</row>
    <row r="883" spans="1:19">
      <c r="A883" s="23"/>
      <c r="B883" s="23"/>
      <c r="C883" s="23"/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</row>
    <row r="884" spans="1:19">
      <c r="A884" s="23"/>
      <c r="B884" s="23"/>
      <c r="C884" s="23"/>
      <c r="D884" s="23"/>
      <c r="E884" s="23"/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</row>
    <row r="885" spans="1:19">
      <c r="A885" s="23"/>
      <c r="B885" s="23"/>
      <c r="C885" s="23"/>
      <c r="D885" s="23"/>
      <c r="E885" s="23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</row>
    <row r="886" spans="1:19">
      <c r="A886" s="23"/>
      <c r="B886" s="23"/>
      <c r="C886" s="23"/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</row>
    <row r="887" spans="1:19">
      <c r="A887" s="23"/>
      <c r="B887" s="23"/>
      <c r="C887" s="23"/>
      <c r="D887" s="23"/>
      <c r="E887" s="23"/>
      <c r="F887" s="23"/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</row>
    <row r="888" spans="1:19">
      <c r="A888" s="23"/>
      <c r="B888" s="23"/>
      <c r="C888" s="23"/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</row>
    <row r="889" spans="1:19">
      <c r="A889" s="23"/>
      <c r="B889" s="23"/>
      <c r="C889" s="23"/>
      <c r="D889" s="23"/>
      <c r="E889" s="23"/>
      <c r="F889" s="23"/>
      <c r="G889" s="23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</row>
    <row r="890" spans="1:19">
      <c r="A890" s="23"/>
      <c r="B890" s="23"/>
      <c r="C890" s="23"/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</row>
    <row r="891" spans="1:19">
      <c r="A891" s="23"/>
      <c r="B891" s="23"/>
      <c r="C891" s="23"/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</row>
    <row r="892" spans="1:19">
      <c r="A892" s="23"/>
      <c r="B892" s="23"/>
      <c r="C892" s="23"/>
      <c r="D892" s="23"/>
      <c r="E892" s="23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</row>
    <row r="893" spans="1:19">
      <c r="A893" s="23"/>
      <c r="B893" s="23"/>
      <c r="C893" s="23"/>
      <c r="D893" s="23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</row>
    <row r="894" spans="1:19">
      <c r="A894" s="23"/>
      <c r="B894" s="23"/>
      <c r="C894" s="23"/>
      <c r="D894" s="23"/>
      <c r="E894" s="23"/>
      <c r="F894" s="23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</row>
    <row r="895" spans="1:19">
      <c r="A895" s="23"/>
      <c r="B895" s="23"/>
      <c r="C895" s="23"/>
      <c r="D895" s="23"/>
      <c r="E895" s="23"/>
      <c r="F895" s="23"/>
      <c r="G895" s="23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</row>
    <row r="896" spans="1:19">
      <c r="A896" s="23"/>
      <c r="B896" s="23"/>
      <c r="C896" s="23"/>
      <c r="D896" s="23"/>
      <c r="E896" s="23"/>
      <c r="F896" s="23"/>
      <c r="G896" s="23"/>
      <c r="H896" s="23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</row>
    <row r="897" spans="1:19">
      <c r="A897" s="23"/>
      <c r="B897" s="23"/>
      <c r="C897" s="23"/>
      <c r="D897" s="23"/>
      <c r="E897" s="23"/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</row>
    <row r="898" spans="1:19">
      <c r="A898" s="23"/>
      <c r="B898" s="23"/>
      <c r="C898" s="23"/>
      <c r="D898" s="23"/>
      <c r="E898" s="23"/>
      <c r="F898" s="23"/>
      <c r="G898" s="23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</row>
    <row r="899" spans="1:19">
      <c r="A899" s="23"/>
      <c r="B899" s="23"/>
      <c r="C899" s="23"/>
      <c r="D899" s="23"/>
      <c r="E899" s="23"/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</row>
    <row r="900" spans="1:19">
      <c r="A900" s="23"/>
      <c r="B900" s="23"/>
      <c r="C900" s="23"/>
      <c r="D900" s="23"/>
      <c r="E900" s="23"/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</row>
    <row r="901" spans="1:19">
      <c r="A901" s="23"/>
      <c r="B901" s="23"/>
      <c r="C901" s="23"/>
      <c r="D901" s="23"/>
      <c r="E901" s="23"/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</row>
    <row r="902" spans="1:19">
      <c r="A902" s="23"/>
      <c r="B902" s="23"/>
      <c r="C902" s="23"/>
      <c r="D902" s="23"/>
      <c r="E902" s="23"/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</row>
    <row r="903" spans="1:19">
      <c r="A903" s="23"/>
      <c r="B903" s="23"/>
      <c r="C903" s="23"/>
      <c r="D903" s="23"/>
      <c r="E903" s="23"/>
      <c r="F903" s="23"/>
      <c r="G903" s="23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</row>
    <row r="904" spans="1:19">
      <c r="A904" s="23"/>
      <c r="B904" s="23"/>
      <c r="C904" s="23"/>
      <c r="D904" s="23"/>
      <c r="E904" s="23"/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</row>
    <row r="905" spans="1:19">
      <c r="A905" s="23"/>
      <c r="B905" s="23"/>
      <c r="C905" s="23"/>
      <c r="D905" s="23"/>
      <c r="E905" s="23"/>
      <c r="F905" s="23"/>
      <c r="G905" s="23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</row>
    <row r="906" spans="1:19">
      <c r="A906" s="23"/>
      <c r="B906" s="23"/>
      <c r="C906" s="23"/>
      <c r="D906" s="23"/>
      <c r="E906" s="23"/>
      <c r="F906" s="23"/>
      <c r="G906" s="23"/>
      <c r="H906" s="23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</row>
    <row r="907" spans="1:19">
      <c r="A907" s="23"/>
      <c r="B907" s="23"/>
      <c r="C907" s="23"/>
      <c r="D907" s="23"/>
      <c r="E907" s="23"/>
      <c r="F907" s="23"/>
      <c r="G907" s="23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</row>
    <row r="908" spans="1:19">
      <c r="A908" s="23"/>
      <c r="B908" s="23"/>
      <c r="C908" s="23"/>
      <c r="D908" s="23"/>
      <c r="E908" s="23"/>
      <c r="F908" s="23"/>
      <c r="G908" s="23"/>
      <c r="H908" s="23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</row>
    <row r="909" spans="1:19">
      <c r="A909" s="23"/>
      <c r="B909" s="23"/>
      <c r="C909" s="23"/>
      <c r="D909" s="23"/>
      <c r="E909" s="23"/>
      <c r="F909" s="23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</row>
    <row r="910" spans="1:19">
      <c r="A910" s="23"/>
      <c r="B910" s="23"/>
      <c r="C910" s="23"/>
      <c r="D910" s="23"/>
      <c r="E910" s="23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</row>
    <row r="911" spans="1:19">
      <c r="A911" s="23"/>
      <c r="B911" s="23"/>
      <c r="C911" s="23"/>
      <c r="D911" s="23"/>
      <c r="E911" s="23"/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</row>
    <row r="912" spans="1:19">
      <c r="A912" s="23"/>
      <c r="B912" s="23"/>
      <c r="C912" s="23"/>
      <c r="D912" s="23"/>
      <c r="E912" s="23"/>
      <c r="F912" s="23"/>
      <c r="G912" s="23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</row>
    <row r="913" spans="1:19">
      <c r="A913" s="23"/>
      <c r="B913" s="23"/>
      <c r="C913" s="23"/>
      <c r="D913" s="23"/>
      <c r="E913" s="23"/>
      <c r="F913" s="23"/>
      <c r="G913" s="23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</row>
    <row r="914" spans="1:19">
      <c r="A914" s="23"/>
      <c r="B914" s="23"/>
      <c r="C914" s="23"/>
      <c r="D914" s="23"/>
      <c r="E914" s="23"/>
      <c r="F914" s="23"/>
      <c r="G914" s="23"/>
      <c r="H914" s="23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</row>
    <row r="915" spans="1:19">
      <c r="A915" s="23"/>
      <c r="B915" s="23"/>
      <c r="C915" s="23"/>
      <c r="D915" s="23"/>
      <c r="E915" s="23"/>
      <c r="F915" s="23"/>
      <c r="G915" s="23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</row>
    <row r="916" spans="1:19">
      <c r="A916" s="23"/>
      <c r="B916" s="23"/>
      <c r="C916" s="23"/>
      <c r="D916" s="23"/>
      <c r="E916" s="23"/>
      <c r="F916" s="23"/>
      <c r="G916" s="23"/>
      <c r="H916" s="23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</row>
    <row r="917" spans="1:19">
      <c r="A917" s="23"/>
      <c r="B917" s="23"/>
      <c r="C917" s="23"/>
      <c r="D917" s="23"/>
      <c r="E917" s="23"/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</row>
    <row r="918" spans="1:19">
      <c r="A918" s="23"/>
      <c r="B918" s="23"/>
      <c r="C918" s="23"/>
      <c r="D918" s="23"/>
      <c r="E918" s="23"/>
      <c r="F918" s="23"/>
      <c r="G918" s="23"/>
      <c r="H918" s="23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</row>
    <row r="919" spans="1:19">
      <c r="A919" s="23"/>
      <c r="B919" s="23"/>
      <c r="C919" s="23"/>
      <c r="D919" s="23"/>
      <c r="E919" s="23"/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</row>
    <row r="920" spans="1:19">
      <c r="A920" s="23"/>
      <c r="B920" s="23"/>
      <c r="C920" s="23"/>
      <c r="D920" s="23"/>
      <c r="E920" s="23"/>
      <c r="F920" s="23"/>
      <c r="G920" s="23"/>
      <c r="H920" s="23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</row>
    <row r="921" spans="1:19">
      <c r="A921" s="23"/>
      <c r="B921" s="23"/>
      <c r="C921" s="23"/>
      <c r="D921" s="23"/>
      <c r="E921" s="23"/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</row>
    <row r="922" spans="1:19">
      <c r="A922" s="23"/>
      <c r="B922" s="23"/>
      <c r="C922" s="23"/>
      <c r="D922" s="23"/>
      <c r="E922" s="23"/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</row>
    <row r="923" spans="1:19">
      <c r="A923" s="23"/>
      <c r="B923" s="23"/>
      <c r="C923" s="23"/>
      <c r="D923" s="23"/>
      <c r="E923" s="23"/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</row>
    <row r="924" spans="1:19">
      <c r="A924" s="23"/>
      <c r="B924" s="23"/>
      <c r="C924" s="23"/>
      <c r="D924" s="23"/>
      <c r="E924" s="23"/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</row>
    <row r="925" spans="1:19">
      <c r="A925" s="23"/>
      <c r="B925" s="23"/>
      <c r="C925" s="23"/>
      <c r="D925" s="23"/>
      <c r="E925" s="23"/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</row>
    <row r="926" spans="1:19">
      <c r="A926" s="23"/>
      <c r="B926" s="23"/>
      <c r="C926" s="23"/>
      <c r="D926" s="23"/>
      <c r="E926" s="23"/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</row>
    <row r="927" spans="1:19">
      <c r="A927" s="23"/>
      <c r="B927" s="23"/>
      <c r="C927" s="23"/>
      <c r="D927" s="23"/>
      <c r="E927" s="23"/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</row>
    <row r="928" spans="1:19">
      <c r="A928" s="23"/>
      <c r="B928" s="23"/>
      <c r="C928" s="23"/>
      <c r="D928" s="23"/>
      <c r="E928" s="23"/>
      <c r="F928" s="23"/>
      <c r="G928" s="23"/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</row>
    <row r="929" spans="1:19">
      <c r="A929" s="23"/>
      <c r="B929" s="23"/>
      <c r="C929" s="23"/>
      <c r="D929" s="23"/>
      <c r="E929" s="23"/>
      <c r="F929" s="23"/>
      <c r="G929" s="23"/>
      <c r="H929" s="23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</row>
    <row r="930" spans="1:19">
      <c r="A930" s="23"/>
      <c r="B930" s="23"/>
      <c r="C930" s="23"/>
      <c r="D930" s="23"/>
      <c r="E930" s="23"/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</row>
    <row r="931" spans="1:19">
      <c r="A931" s="23"/>
      <c r="B931" s="23"/>
      <c r="C931" s="23"/>
      <c r="D931" s="23"/>
      <c r="E931" s="23"/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</row>
    <row r="932" spans="1:19">
      <c r="A932" s="23"/>
      <c r="B932" s="23"/>
      <c r="C932" s="23"/>
      <c r="D932" s="23"/>
      <c r="E932" s="23"/>
      <c r="F932" s="23"/>
      <c r="G932" s="23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</row>
    <row r="933" spans="1:19">
      <c r="A933" s="23"/>
      <c r="B933" s="23"/>
      <c r="C933" s="23"/>
      <c r="D933" s="23"/>
      <c r="E933" s="23"/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</row>
    <row r="934" spans="1:19">
      <c r="A934" s="23"/>
      <c r="B934" s="23"/>
      <c r="C934" s="23"/>
      <c r="D934" s="23"/>
      <c r="E934" s="23"/>
      <c r="F934" s="23"/>
      <c r="G934" s="23"/>
      <c r="H934" s="23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</row>
    <row r="935" spans="1:19">
      <c r="A935" s="23"/>
      <c r="B935" s="23"/>
      <c r="C935" s="23"/>
      <c r="D935" s="23"/>
      <c r="E935" s="23"/>
      <c r="F935" s="23"/>
      <c r="G935" s="23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</row>
    <row r="936" spans="1:19">
      <c r="A936" s="23"/>
      <c r="B936" s="23"/>
      <c r="C936" s="23"/>
      <c r="D936" s="23"/>
      <c r="E936" s="23"/>
      <c r="F936" s="23"/>
      <c r="G936" s="23"/>
      <c r="H936" s="23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</row>
    <row r="937" spans="1:19">
      <c r="A937" s="23"/>
      <c r="B937" s="23"/>
      <c r="C937" s="23"/>
      <c r="D937" s="23"/>
      <c r="E937" s="23"/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</row>
    <row r="938" spans="1:19">
      <c r="A938" s="23"/>
      <c r="B938" s="23"/>
      <c r="C938" s="23"/>
      <c r="D938" s="23"/>
      <c r="E938" s="23"/>
      <c r="F938" s="23"/>
      <c r="G938" s="23"/>
      <c r="H938" s="23"/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</row>
    <row r="939" spans="1:19">
      <c r="A939" s="23"/>
      <c r="B939" s="23"/>
      <c r="C939" s="23"/>
      <c r="D939" s="23"/>
      <c r="E939" s="23"/>
      <c r="F939" s="23"/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</row>
    <row r="940" spans="1:19">
      <c r="A940" s="23"/>
      <c r="B940" s="23"/>
      <c r="C940" s="23"/>
      <c r="D940" s="23"/>
      <c r="E940" s="23"/>
      <c r="F940" s="23"/>
      <c r="G940" s="23"/>
      <c r="H940" s="23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</row>
    <row r="941" spans="1:19">
      <c r="A941" s="23"/>
      <c r="B941" s="23"/>
      <c r="C941" s="23"/>
      <c r="D941" s="23"/>
      <c r="E941" s="23"/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</row>
    <row r="942" spans="1:19">
      <c r="A942" s="23"/>
      <c r="B942" s="23"/>
      <c r="C942" s="23"/>
      <c r="D942" s="23"/>
      <c r="E942" s="23"/>
      <c r="F942" s="23"/>
      <c r="G942" s="23"/>
      <c r="H942" s="23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</row>
    <row r="943" spans="1:19">
      <c r="A943" s="23"/>
      <c r="B943" s="23"/>
      <c r="C943" s="23"/>
      <c r="D943" s="23"/>
      <c r="E943" s="23"/>
      <c r="F943" s="23"/>
      <c r="G943" s="23"/>
      <c r="H943" s="23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</row>
    <row r="944" spans="1:19">
      <c r="A944" s="23"/>
      <c r="B944" s="23"/>
      <c r="C944" s="23"/>
      <c r="D944" s="23"/>
      <c r="E944" s="23"/>
      <c r="F944" s="23"/>
      <c r="G944" s="23"/>
      <c r="H944" s="23"/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</row>
    <row r="945" spans="1:19">
      <c r="A945" s="23"/>
      <c r="B945" s="23"/>
      <c r="C945" s="23"/>
      <c r="D945" s="23"/>
      <c r="E945" s="23"/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</row>
    <row r="946" spans="1:19">
      <c r="A946" s="23"/>
      <c r="B946" s="23"/>
      <c r="C946" s="23"/>
      <c r="D946" s="23"/>
      <c r="E946" s="23"/>
      <c r="F946" s="23"/>
      <c r="G946" s="23"/>
      <c r="H946" s="23"/>
      <c r="I946" s="23"/>
      <c r="J946" s="23"/>
      <c r="K946" s="23"/>
      <c r="L946" s="23"/>
      <c r="M946" s="23"/>
      <c r="N946" s="23"/>
      <c r="O946" s="23"/>
      <c r="P946" s="23"/>
      <c r="Q946" s="23"/>
      <c r="R946" s="23"/>
      <c r="S946" s="23"/>
    </row>
    <row r="947" spans="1:19">
      <c r="A947" s="23"/>
      <c r="B947" s="23"/>
      <c r="C947" s="23"/>
      <c r="D947" s="23"/>
      <c r="E947" s="23"/>
      <c r="F947" s="23"/>
      <c r="G947" s="23"/>
      <c r="H947" s="23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</row>
    <row r="948" spans="1:19">
      <c r="A948" s="23"/>
      <c r="B948" s="23"/>
      <c r="C948" s="23"/>
      <c r="D948" s="23"/>
      <c r="E948" s="23"/>
      <c r="F948" s="23"/>
      <c r="G948" s="23"/>
      <c r="H948" s="23"/>
      <c r="I948" s="23"/>
      <c r="J948" s="23"/>
      <c r="K948" s="23"/>
      <c r="L948" s="23"/>
      <c r="M948" s="23"/>
      <c r="N948" s="23"/>
      <c r="O948" s="23"/>
      <c r="P948" s="23"/>
      <c r="Q948" s="23"/>
      <c r="R948" s="23"/>
      <c r="S948" s="23"/>
    </row>
    <row r="949" spans="1:19">
      <c r="A949" s="23"/>
      <c r="B949" s="23"/>
      <c r="C949" s="23"/>
      <c r="D949" s="23"/>
      <c r="E949" s="23"/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</row>
    <row r="950" spans="1:19">
      <c r="A950" s="23"/>
      <c r="B950" s="23"/>
      <c r="C950" s="23"/>
      <c r="D950" s="23"/>
      <c r="E950" s="23"/>
      <c r="F950" s="23"/>
      <c r="G950" s="23"/>
      <c r="H950" s="23"/>
      <c r="I950" s="23"/>
      <c r="J950" s="23"/>
      <c r="K950" s="23"/>
      <c r="L950" s="23"/>
      <c r="M950" s="23"/>
      <c r="N950" s="23"/>
      <c r="O950" s="23"/>
      <c r="P950" s="23"/>
      <c r="Q950" s="23"/>
      <c r="R950" s="23"/>
      <c r="S950" s="23"/>
    </row>
    <row r="951" spans="1:19">
      <c r="A951" s="23"/>
      <c r="B951" s="23"/>
      <c r="C951" s="23"/>
      <c r="D951" s="23"/>
      <c r="E951" s="23"/>
      <c r="F951" s="23"/>
      <c r="G951" s="23"/>
      <c r="H951" s="23"/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</row>
    <row r="952" spans="1:19">
      <c r="A952" s="23"/>
      <c r="B952" s="23"/>
      <c r="C952" s="23"/>
      <c r="D952" s="23"/>
      <c r="E952" s="23"/>
      <c r="F952" s="23"/>
      <c r="G952" s="23"/>
      <c r="H952" s="23"/>
      <c r="I952" s="23"/>
      <c r="J952" s="23"/>
      <c r="K952" s="23"/>
      <c r="L952" s="23"/>
      <c r="M952" s="23"/>
      <c r="N952" s="23"/>
      <c r="O952" s="23"/>
      <c r="P952" s="23"/>
      <c r="Q952" s="23"/>
      <c r="R952" s="23"/>
      <c r="S952" s="23"/>
    </row>
    <row r="953" spans="1:19">
      <c r="A953" s="23"/>
      <c r="B953" s="23"/>
      <c r="C953" s="23"/>
      <c r="D953" s="23"/>
      <c r="E953" s="23"/>
      <c r="F953" s="23"/>
      <c r="G953" s="23"/>
      <c r="H953" s="23"/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</row>
    <row r="954" spans="1:19">
      <c r="A954" s="23"/>
      <c r="B954" s="23"/>
      <c r="C954" s="23"/>
      <c r="D954" s="23"/>
      <c r="E954" s="23"/>
      <c r="F954" s="23"/>
      <c r="G954" s="23"/>
      <c r="H954" s="23"/>
      <c r="I954" s="23"/>
      <c r="J954" s="23"/>
      <c r="K954" s="23"/>
      <c r="L954" s="23"/>
      <c r="M954" s="23"/>
      <c r="N954" s="23"/>
      <c r="O954" s="23"/>
      <c r="P954" s="23"/>
      <c r="Q954" s="23"/>
      <c r="R954" s="23"/>
      <c r="S954" s="23"/>
    </row>
    <row r="955" spans="1:19">
      <c r="A955" s="23"/>
      <c r="B955" s="23"/>
      <c r="C955" s="23"/>
      <c r="D955" s="23"/>
      <c r="E955" s="23"/>
      <c r="F955" s="23"/>
      <c r="G955" s="23"/>
      <c r="H955" s="23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</row>
    <row r="956" spans="1:19">
      <c r="A956" s="23"/>
      <c r="B956" s="23"/>
      <c r="C956" s="23"/>
      <c r="D956" s="23"/>
      <c r="E956" s="23"/>
      <c r="F956" s="23"/>
      <c r="G956" s="23"/>
      <c r="H956" s="23"/>
      <c r="I956" s="23"/>
      <c r="J956" s="23"/>
      <c r="K956" s="23"/>
      <c r="L956" s="23"/>
      <c r="M956" s="23"/>
      <c r="N956" s="23"/>
      <c r="O956" s="23"/>
      <c r="P956" s="23"/>
      <c r="Q956" s="23"/>
      <c r="R956" s="23"/>
      <c r="S956" s="23"/>
    </row>
    <row r="957" spans="1:19">
      <c r="A957" s="23"/>
      <c r="B957" s="23"/>
      <c r="C957" s="23"/>
      <c r="D957" s="23"/>
      <c r="E957" s="23"/>
      <c r="F957" s="23"/>
      <c r="G957" s="23"/>
      <c r="H957" s="23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</row>
    <row r="958" spans="1:19">
      <c r="A958" s="23"/>
      <c r="B958" s="23"/>
      <c r="C958" s="23"/>
      <c r="D958" s="23"/>
      <c r="E958" s="23"/>
      <c r="F958" s="23"/>
      <c r="G958" s="23"/>
      <c r="H958" s="23"/>
      <c r="I958" s="23"/>
      <c r="J958" s="23"/>
      <c r="K958" s="23"/>
      <c r="L958" s="23"/>
      <c r="M958" s="23"/>
      <c r="N958" s="23"/>
      <c r="O958" s="23"/>
      <c r="P958" s="23"/>
      <c r="Q958" s="23"/>
      <c r="R958" s="23"/>
      <c r="S958" s="23"/>
    </row>
    <row r="959" spans="1:19">
      <c r="A959" s="23"/>
      <c r="B959" s="23"/>
      <c r="C959" s="23"/>
      <c r="D959" s="23"/>
      <c r="E959" s="23"/>
      <c r="F959" s="23"/>
      <c r="G959" s="23"/>
      <c r="H959" s="23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</row>
    <row r="960" spans="1:19">
      <c r="A960" s="23"/>
      <c r="B960" s="23"/>
      <c r="C960" s="23"/>
      <c r="D960" s="23"/>
      <c r="E960" s="23"/>
      <c r="F960" s="23"/>
      <c r="G960" s="23"/>
      <c r="H960" s="23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</row>
    <row r="961" spans="1:19">
      <c r="A961" s="23"/>
      <c r="B961" s="23"/>
      <c r="C961" s="23"/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</row>
    <row r="962" spans="1:19">
      <c r="A962" s="23"/>
      <c r="B962" s="23"/>
      <c r="C962" s="23"/>
      <c r="D962" s="23"/>
      <c r="E962" s="23"/>
      <c r="F962" s="23"/>
      <c r="G962" s="23"/>
      <c r="H962" s="23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</row>
    <row r="963" spans="1:19">
      <c r="A963" s="23"/>
      <c r="B963" s="23"/>
      <c r="C963" s="23"/>
      <c r="D963" s="23"/>
      <c r="E963" s="23"/>
      <c r="F963" s="23"/>
      <c r="G963" s="23"/>
      <c r="H963" s="23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</row>
    <row r="964" spans="1:19">
      <c r="A964" s="23"/>
      <c r="B964" s="23"/>
      <c r="C964" s="23"/>
      <c r="D964" s="23"/>
      <c r="E964" s="23"/>
      <c r="F964" s="23"/>
      <c r="G964" s="23"/>
      <c r="H964" s="23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</row>
    <row r="965" spans="1:19">
      <c r="A965" s="23"/>
      <c r="B965" s="23"/>
      <c r="C965" s="23"/>
      <c r="D965" s="23"/>
      <c r="E965" s="23"/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</row>
    <row r="966" spans="1:19">
      <c r="A966" s="23"/>
      <c r="B966" s="23"/>
      <c r="C966" s="23"/>
      <c r="D966" s="23"/>
      <c r="E966" s="23"/>
      <c r="F966" s="23"/>
      <c r="G966" s="23"/>
      <c r="H966" s="23"/>
      <c r="I966" s="23"/>
      <c r="J966" s="23"/>
      <c r="K966" s="23"/>
      <c r="L966" s="23"/>
      <c r="M966" s="23"/>
      <c r="N966" s="23"/>
      <c r="O966" s="23"/>
      <c r="P966" s="23"/>
      <c r="Q966" s="23"/>
      <c r="R966" s="23"/>
      <c r="S966" s="23"/>
    </row>
    <row r="967" spans="1:19">
      <c r="A967" s="23"/>
      <c r="B967" s="23"/>
      <c r="C967" s="23"/>
      <c r="D967" s="23"/>
      <c r="E967" s="23"/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</row>
    <row r="968" spans="1:19">
      <c r="A968" s="23"/>
      <c r="B968" s="23"/>
      <c r="C968" s="23"/>
      <c r="D968" s="23"/>
      <c r="E968" s="23"/>
      <c r="F968" s="23"/>
      <c r="G968" s="23"/>
      <c r="H968" s="23"/>
      <c r="I968" s="23"/>
      <c r="J968" s="23"/>
      <c r="K968" s="23"/>
      <c r="L968" s="23"/>
      <c r="M968" s="23"/>
      <c r="N968" s="23"/>
      <c r="O968" s="23"/>
      <c r="P968" s="23"/>
      <c r="Q968" s="23"/>
      <c r="R968" s="23"/>
      <c r="S968" s="23"/>
    </row>
    <row r="969" spans="1:19">
      <c r="A969" s="23"/>
      <c r="B969" s="23"/>
      <c r="C969" s="23"/>
      <c r="D969" s="23"/>
      <c r="E969" s="23"/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</row>
    <row r="970" spans="1:19">
      <c r="A970" s="23"/>
      <c r="B970" s="23"/>
      <c r="C970" s="23"/>
      <c r="D970" s="23"/>
      <c r="E970" s="23"/>
      <c r="F970" s="23"/>
      <c r="G970" s="23"/>
      <c r="H970" s="23"/>
      <c r="I970" s="23"/>
      <c r="J970" s="23"/>
      <c r="K970" s="23"/>
      <c r="L970" s="23"/>
      <c r="M970" s="23"/>
      <c r="N970" s="23"/>
      <c r="O970" s="23"/>
      <c r="P970" s="23"/>
      <c r="Q970" s="23"/>
      <c r="R970" s="23"/>
      <c r="S970" s="23"/>
    </row>
    <row r="971" spans="1:19">
      <c r="A971" s="23"/>
      <c r="B971" s="23"/>
      <c r="C971" s="23"/>
      <c r="D971" s="23"/>
      <c r="E971" s="23"/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</row>
    <row r="972" spans="1:19">
      <c r="A972" s="23"/>
      <c r="B972" s="23"/>
      <c r="C972" s="23"/>
      <c r="D972" s="23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</row>
    <row r="973" spans="1:19">
      <c r="A973" s="23"/>
      <c r="B973" s="23"/>
      <c r="C973" s="23"/>
      <c r="D973" s="23"/>
      <c r="E973" s="23"/>
      <c r="F973" s="23"/>
      <c r="G973" s="23"/>
      <c r="H973" s="23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</row>
    <row r="974" spans="1:19">
      <c r="A974" s="23"/>
      <c r="B974" s="23"/>
      <c r="C974" s="23"/>
      <c r="D974" s="23"/>
      <c r="E974" s="23"/>
      <c r="F974" s="23"/>
      <c r="G974" s="23"/>
      <c r="H974" s="23"/>
      <c r="I974" s="23"/>
      <c r="J974" s="23"/>
      <c r="K974" s="23"/>
      <c r="L974" s="23"/>
      <c r="M974" s="23"/>
      <c r="N974" s="23"/>
      <c r="O974" s="23"/>
      <c r="P974" s="23"/>
      <c r="Q974" s="23"/>
      <c r="R974" s="23"/>
      <c r="S974" s="23"/>
    </row>
    <row r="975" spans="1:19">
      <c r="A975" s="23"/>
      <c r="B975" s="23"/>
      <c r="C975" s="23"/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</row>
    <row r="976" spans="1:19">
      <c r="A976" s="23"/>
      <c r="B976" s="23"/>
      <c r="C976" s="23"/>
      <c r="D976" s="23"/>
      <c r="E976" s="23"/>
      <c r="F976" s="23"/>
      <c r="G976" s="23"/>
      <c r="H976" s="23"/>
      <c r="I976" s="23"/>
      <c r="J976" s="23"/>
      <c r="K976" s="23"/>
      <c r="L976" s="23"/>
      <c r="M976" s="23"/>
      <c r="N976" s="23"/>
      <c r="O976" s="23"/>
      <c r="P976" s="23"/>
      <c r="Q976" s="23"/>
      <c r="R976" s="23"/>
      <c r="S976" s="23"/>
    </row>
    <row r="977" spans="1:19">
      <c r="A977" s="23"/>
      <c r="B977" s="23"/>
      <c r="C977" s="23"/>
      <c r="D977" s="23"/>
      <c r="E977" s="23"/>
      <c r="F977" s="23"/>
      <c r="G977" s="23"/>
      <c r="H977" s="23"/>
      <c r="I977" s="23"/>
      <c r="J977" s="23"/>
      <c r="K977" s="23"/>
      <c r="L977" s="23"/>
      <c r="M977" s="23"/>
      <c r="N977" s="23"/>
      <c r="O977" s="23"/>
      <c r="P977" s="23"/>
      <c r="Q977" s="23"/>
      <c r="R977" s="23"/>
      <c r="S977" s="23"/>
    </row>
    <row r="978" spans="1:19">
      <c r="A978" s="23"/>
      <c r="B978" s="23"/>
      <c r="C978" s="23"/>
      <c r="D978" s="23"/>
      <c r="E978" s="23"/>
      <c r="F978" s="23"/>
      <c r="G978" s="23"/>
      <c r="H978" s="23"/>
      <c r="I978" s="23"/>
      <c r="J978" s="23"/>
      <c r="K978" s="23"/>
      <c r="L978" s="23"/>
      <c r="M978" s="23"/>
      <c r="N978" s="23"/>
      <c r="O978" s="23"/>
      <c r="P978" s="23"/>
      <c r="Q978" s="23"/>
      <c r="R978" s="23"/>
      <c r="S978" s="23"/>
    </row>
    <row r="979" spans="1:19">
      <c r="A979" s="23"/>
      <c r="B979" s="23"/>
      <c r="C979" s="23"/>
      <c r="D979" s="23"/>
      <c r="E979" s="23"/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</row>
    <row r="980" spans="1:19">
      <c r="A980" s="23"/>
      <c r="B980" s="23"/>
      <c r="C980" s="23"/>
      <c r="D980" s="23"/>
      <c r="E980" s="23"/>
      <c r="F980" s="23"/>
      <c r="G980" s="23"/>
      <c r="H980" s="23"/>
      <c r="I980" s="23"/>
      <c r="J980" s="23"/>
      <c r="K980" s="23"/>
      <c r="L980" s="23"/>
      <c r="M980" s="23"/>
      <c r="N980" s="23"/>
      <c r="O980" s="23"/>
      <c r="P980" s="23"/>
      <c r="Q980" s="23"/>
      <c r="R980" s="23"/>
      <c r="S980" s="23"/>
    </row>
    <row r="981" spans="1:19">
      <c r="A981" s="23"/>
      <c r="B981" s="23"/>
      <c r="C981" s="23"/>
      <c r="D981" s="23"/>
      <c r="E981" s="23"/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</row>
    <row r="982" spans="1:19">
      <c r="A982" s="23"/>
      <c r="B982" s="23"/>
      <c r="C982" s="23"/>
      <c r="D982" s="23"/>
      <c r="E982" s="23"/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</row>
    <row r="983" spans="1:19">
      <c r="A983" s="23"/>
      <c r="B983" s="23"/>
      <c r="C983" s="23"/>
      <c r="D983" s="23"/>
      <c r="E983" s="23"/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</row>
    <row r="984" spans="1:19">
      <c r="A984" s="23"/>
      <c r="B984" s="23"/>
      <c r="C984" s="23"/>
      <c r="D984" s="23"/>
      <c r="E984" s="23"/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</row>
    <row r="985" spans="1:19">
      <c r="A985" s="23"/>
      <c r="B985" s="23"/>
      <c r="C985" s="23"/>
      <c r="D985" s="23"/>
      <c r="E985" s="23"/>
      <c r="F985" s="23"/>
      <c r="G985" s="23"/>
      <c r="H985" s="23"/>
      <c r="I985" s="23"/>
      <c r="J985" s="23"/>
      <c r="K985" s="23"/>
      <c r="L985" s="23"/>
      <c r="M985" s="23"/>
      <c r="N985" s="23"/>
      <c r="O985" s="23"/>
      <c r="P985" s="23"/>
      <c r="Q985" s="23"/>
      <c r="R985" s="23"/>
      <c r="S985" s="23"/>
    </row>
    <row r="986" spans="1:19">
      <c r="A986" s="23"/>
      <c r="B986" s="23"/>
      <c r="C986" s="23"/>
      <c r="D986" s="23"/>
      <c r="E986" s="23"/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23"/>
    </row>
    <row r="987" spans="1:19">
      <c r="A987" s="23"/>
      <c r="B987" s="23"/>
      <c r="C987" s="23"/>
      <c r="D987" s="23"/>
      <c r="E987" s="23"/>
      <c r="F987" s="23"/>
      <c r="G987" s="23"/>
      <c r="H987" s="23"/>
      <c r="I987" s="23"/>
      <c r="J987" s="23"/>
      <c r="K987" s="23"/>
      <c r="L987" s="23"/>
      <c r="M987" s="23"/>
      <c r="N987" s="23"/>
      <c r="O987" s="23"/>
      <c r="P987" s="23"/>
      <c r="Q987" s="23"/>
      <c r="R987" s="23"/>
      <c r="S987" s="23"/>
    </row>
    <row r="988" spans="1:19">
      <c r="A988" s="23"/>
      <c r="B988" s="23"/>
      <c r="C988" s="23"/>
      <c r="D988" s="23"/>
      <c r="E988" s="23"/>
      <c r="F988" s="23"/>
      <c r="G988" s="23"/>
      <c r="H988" s="23"/>
      <c r="I988" s="23"/>
      <c r="J988" s="23"/>
      <c r="K988" s="23"/>
      <c r="L988" s="23"/>
      <c r="M988" s="23"/>
      <c r="N988" s="23"/>
      <c r="O988" s="23"/>
      <c r="P988" s="23"/>
      <c r="Q988" s="23"/>
      <c r="R988" s="23"/>
      <c r="S988" s="23"/>
    </row>
    <row r="989" spans="1:19">
      <c r="A989" s="23"/>
      <c r="B989" s="23"/>
      <c r="C989" s="23"/>
      <c r="D989" s="23"/>
      <c r="E989" s="23"/>
      <c r="F989" s="23"/>
      <c r="G989" s="23"/>
      <c r="H989" s="23"/>
      <c r="I989" s="23"/>
      <c r="J989" s="23"/>
      <c r="K989" s="23"/>
      <c r="L989" s="23"/>
      <c r="M989" s="23"/>
      <c r="N989" s="23"/>
      <c r="O989" s="23"/>
      <c r="P989" s="23"/>
      <c r="Q989" s="23"/>
      <c r="R989" s="23"/>
      <c r="S989" s="23"/>
    </row>
    <row r="990" spans="1:19">
      <c r="A990" s="23"/>
      <c r="B990" s="23"/>
      <c r="C990" s="23"/>
      <c r="D990" s="23"/>
      <c r="E990" s="23"/>
      <c r="F990" s="23"/>
      <c r="G990" s="23"/>
      <c r="H990" s="23"/>
      <c r="I990" s="23"/>
      <c r="J990" s="23"/>
      <c r="K990" s="23"/>
      <c r="L990" s="23"/>
      <c r="M990" s="23"/>
      <c r="N990" s="23"/>
      <c r="O990" s="23"/>
      <c r="P990" s="23"/>
      <c r="Q990" s="23"/>
      <c r="R990" s="23"/>
      <c r="S990" s="23"/>
    </row>
    <row r="991" spans="1:19">
      <c r="A991" s="23"/>
      <c r="B991" s="23"/>
      <c r="C991" s="23"/>
      <c r="D991" s="23"/>
      <c r="E991" s="23"/>
      <c r="F991" s="23"/>
      <c r="G991" s="23"/>
      <c r="H991" s="23"/>
      <c r="I991" s="23"/>
      <c r="J991" s="23"/>
      <c r="K991" s="23"/>
      <c r="L991" s="23"/>
      <c r="M991" s="23"/>
      <c r="N991" s="23"/>
      <c r="O991" s="23"/>
      <c r="P991" s="23"/>
      <c r="Q991" s="23"/>
      <c r="R991" s="23"/>
      <c r="S991" s="23"/>
    </row>
    <row r="992" spans="1:19">
      <c r="A992" s="23"/>
      <c r="B992" s="23"/>
      <c r="C992" s="23"/>
      <c r="D992" s="23"/>
      <c r="E992" s="23"/>
      <c r="F992" s="23"/>
      <c r="G992" s="23"/>
      <c r="H992" s="23"/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</row>
    <row r="993" spans="1:19">
      <c r="A993" s="23"/>
      <c r="B993" s="23"/>
      <c r="C993" s="23"/>
      <c r="D993" s="23"/>
      <c r="E993" s="23"/>
      <c r="F993" s="23"/>
      <c r="G993" s="23"/>
      <c r="H993" s="23"/>
      <c r="I993" s="23"/>
      <c r="J993" s="23"/>
      <c r="K993" s="23"/>
      <c r="L993" s="23"/>
      <c r="M993" s="23"/>
      <c r="N993" s="23"/>
      <c r="O993" s="23"/>
      <c r="P993" s="23"/>
      <c r="Q993" s="23"/>
      <c r="R993" s="23"/>
      <c r="S993" s="23"/>
    </row>
    <row r="994" spans="1:19">
      <c r="A994" s="23"/>
      <c r="B994" s="23"/>
      <c r="C994" s="23"/>
      <c r="D994" s="23"/>
      <c r="E994" s="23"/>
      <c r="F994" s="23"/>
      <c r="G994" s="23"/>
      <c r="H994" s="23"/>
      <c r="I994" s="23"/>
      <c r="J994" s="23"/>
      <c r="K994" s="23"/>
      <c r="L994" s="23"/>
      <c r="M994" s="23"/>
      <c r="N994" s="23"/>
      <c r="O994" s="23"/>
      <c r="P994" s="23"/>
      <c r="Q994" s="23"/>
      <c r="R994" s="23"/>
      <c r="S994" s="23"/>
    </row>
    <row r="995" spans="1:19">
      <c r="A995" s="23"/>
      <c r="B995" s="23"/>
      <c r="C995" s="23"/>
      <c r="D995" s="23"/>
      <c r="E995" s="23"/>
      <c r="F995" s="23"/>
      <c r="G995" s="23"/>
      <c r="H995" s="23"/>
      <c r="I995" s="23"/>
      <c r="J995" s="23"/>
      <c r="K995" s="23"/>
      <c r="L995" s="23"/>
      <c r="M995" s="23"/>
      <c r="N995" s="23"/>
      <c r="O995" s="23"/>
      <c r="P995" s="23"/>
      <c r="Q995" s="23"/>
      <c r="R995" s="23"/>
      <c r="S995" s="23"/>
    </row>
    <row r="996" spans="1:19">
      <c r="A996" s="23"/>
      <c r="B996" s="23"/>
      <c r="C996" s="23"/>
      <c r="D996" s="23"/>
      <c r="E996" s="23"/>
      <c r="F996" s="23"/>
      <c r="G996" s="23"/>
      <c r="H996" s="23"/>
      <c r="I996" s="23"/>
      <c r="J996" s="23"/>
      <c r="K996" s="23"/>
      <c r="L996" s="23"/>
      <c r="M996" s="23"/>
      <c r="N996" s="23"/>
      <c r="O996" s="23"/>
      <c r="P996" s="23"/>
      <c r="Q996" s="23"/>
      <c r="R996" s="23"/>
      <c r="S996" s="23"/>
    </row>
    <row r="997" spans="1:19">
      <c r="A997" s="23"/>
      <c r="B997" s="23"/>
      <c r="C997" s="23"/>
      <c r="D997" s="23"/>
      <c r="E997" s="23"/>
      <c r="F997" s="23"/>
      <c r="G997" s="23"/>
      <c r="H997" s="23"/>
      <c r="I997" s="23"/>
      <c r="J997" s="23"/>
      <c r="K997" s="23"/>
      <c r="L997" s="23"/>
      <c r="M997" s="23"/>
      <c r="N997" s="23"/>
      <c r="O997" s="23"/>
      <c r="P997" s="23"/>
      <c r="Q997" s="23"/>
      <c r="R997" s="23"/>
      <c r="S997" s="23"/>
    </row>
    <row r="998" spans="1:19">
      <c r="A998" s="23"/>
      <c r="B998" s="23"/>
      <c r="C998" s="23"/>
      <c r="D998" s="23"/>
      <c r="E998" s="23"/>
      <c r="F998" s="23"/>
      <c r="G998" s="23"/>
      <c r="H998" s="23"/>
      <c r="I998" s="23"/>
      <c r="J998" s="23"/>
      <c r="K998" s="23"/>
      <c r="L998" s="23"/>
      <c r="M998" s="23"/>
      <c r="N998" s="23"/>
      <c r="O998" s="23"/>
      <c r="P998" s="23"/>
      <c r="Q998" s="23"/>
      <c r="R998" s="23"/>
      <c r="S998" s="23"/>
    </row>
    <row r="999" spans="1:19">
      <c r="A999" s="23"/>
      <c r="B999" s="23"/>
      <c r="C999" s="23"/>
      <c r="D999" s="23"/>
      <c r="E999" s="23"/>
      <c r="F999" s="23"/>
      <c r="G999" s="23"/>
      <c r="H999" s="23"/>
      <c r="I999" s="23"/>
      <c r="J999" s="23"/>
      <c r="K999" s="23"/>
      <c r="L999" s="23"/>
      <c r="M999" s="23"/>
      <c r="N999" s="23"/>
      <c r="O999" s="23"/>
      <c r="P999" s="23"/>
      <c r="Q999" s="23"/>
      <c r="R999" s="23"/>
      <c r="S999" s="23"/>
    </row>
    <row r="1000" spans="1:19">
      <c r="A1000" s="23"/>
      <c r="B1000" s="23"/>
      <c r="C1000" s="23"/>
      <c r="D1000" s="23"/>
      <c r="E1000" s="23"/>
      <c r="F1000" s="23"/>
      <c r="G1000" s="23"/>
      <c r="H1000" s="23"/>
      <c r="I1000" s="23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outlinePr summaryBelow="0" summaryRight="0"/>
  </sheetPr>
  <dimension ref="A1:S1000"/>
  <sheetViews>
    <sheetView workbookViewId="0"/>
  </sheetViews>
  <sheetFormatPr baseColWidth="10" defaultColWidth="11.1640625" defaultRowHeight="15" customHeight="1"/>
  <sheetData>
    <row r="1" spans="1:19">
      <c r="A1" s="23" t="str">
        <f ca="1">IFERROR(__xludf.DUMMYFUNCTION("IMPORTRANGE(""https://docs.google.com/spreadsheets/d/14XszGl4-Fh-eS7pYDx9CBAcjdaHRqyhrnPc86gnbx8o/edit?gid=1915489439#gid=1915489439"",""01!A1:S"")"),"INDICADORES")</f>
        <v>INDICADORES</v>
      </c>
      <c r="B1" s="23" t="str">
        <f ca="1">IFERROR(__xludf.DUMMYFUNCTION("""COMPUTED_VALUE"""),"META ANUAL")</f>
        <v>META ANUAL</v>
      </c>
      <c r="C1" s="23" t="str">
        <f ca="1">IFERROR(__xludf.DUMMYFUNCTION("""COMPUTED_VALUE"""),"UNIDAD DE MEDIDA")</f>
        <v>UNIDAD DE MEDIDA</v>
      </c>
      <c r="D1" s="23" t="str">
        <f ca="1">IFERROR(__xludf.DUMMYFUNCTION("""COMPUTED_VALUE"""),"TIPO DE INDICADOR")</f>
        <v>TIPO DE INDICADOR</v>
      </c>
      <c r="E1" s="23" t="str">
        <f ca="1">IFERROR(__xludf.DUMMYFUNCTION("""COMPUTED_VALUE"""),"MEDIO DE VERIFICACION")</f>
        <v>MEDIO DE VERIFICACION</v>
      </c>
      <c r="F1" s="23" t="str">
        <f ca="1">IFERROR(__xludf.DUMMYFUNCTION("""COMPUTED_VALUE"""),"% AVANCE ")</f>
        <v xml:space="preserve">% AVANCE </v>
      </c>
      <c r="G1" s="23" t="str">
        <f ca="1">IFERROR(__xludf.DUMMYFUNCTION("""COMPUTED_VALUE"""),"OCTUBRE")</f>
        <v>OCTUBRE</v>
      </c>
      <c r="H1" s="23" t="str">
        <f ca="1">IFERROR(__xludf.DUMMYFUNCTION("""COMPUTED_VALUE"""),"NOVIEMBRE")</f>
        <v>NOVIEMBRE</v>
      </c>
      <c r="I1" s="23" t="str">
        <f ca="1">IFERROR(__xludf.DUMMYFUNCTION("""COMPUTED_VALUE"""),"DICIEMBRE")</f>
        <v>DICIEMBRE</v>
      </c>
      <c r="J1" s="23" t="str">
        <f ca="1">IFERROR(__xludf.DUMMYFUNCTION("""COMPUTED_VALUE"""),"ENERO ")</f>
        <v xml:space="preserve">ENERO </v>
      </c>
      <c r="K1" s="23" t="str">
        <f ca="1">IFERROR(__xludf.DUMMYFUNCTION("""COMPUTED_VALUE"""),"FEBRERO")</f>
        <v>FEBRERO</v>
      </c>
      <c r="L1" s="23" t="str">
        <f ca="1">IFERROR(__xludf.DUMMYFUNCTION("""COMPUTED_VALUE"""),"MARZO")</f>
        <v>MARZO</v>
      </c>
      <c r="M1" s="23" t="str">
        <f ca="1">IFERROR(__xludf.DUMMYFUNCTION("""COMPUTED_VALUE"""),"ABRIL")</f>
        <v>ABRIL</v>
      </c>
      <c r="N1" s="23" t="str">
        <f ca="1">IFERROR(__xludf.DUMMYFUNCTION("""COMPUTED_VALUE"""),"MAYO")</f>
        <v>MAYO</v>
      </c>
      <c r="O1" s="23" t="str">
        <f ca="1">IFERROR(__xludf.DUMMYFUNCTION("""COMPUTED_VALUE"""),"JUNIO")</f>
        <v>JUNIO</v>
      </c>
      <c r="P1" s="23" t="str">
        <f ca="1">IFERROR(__xludf.DUMMYFUNCTION("""COMPUTED_VALUE"""),"JULIO")</f>
        <v>JULIO</v>
      </c>
      <c r="Q1" s="23" t="str">
        <f ca="1">IFERROR(__xludf.DUMMYFUNCTION("""COMPUTED_VALUE"""),"AGOSTO")</f>
        <v>AGOSTO</v>
      </c>
      <c r="R1" s="23" t="str">
        <f ca="1">IFERROR(__xludf.DUMMYFUNCTION("""COMPUTED_VALUE"""),"SEPTIEMBRE")</f>
        <v>SEPTIEMBRE</v>
      </c>
      <c r="S1" s="23" t="str">
        <f ca="1">IFERROR(__xludf.DUMMYFUNCTION("""COMPUTED_VALUE"""),"SUMATORIA TOTAL")</f>
        <v>SUMATORIA TOTAL</v>
      </c>
    </row>
    <row r="2" spans="1:19">
      <c r="A2" s="23" t="str">
        <f ca="1">IFERROR(__xludf.DUMMYFUNCTION("""COMPUTED_VALUE"""),"COMITES VECINALES INSTALADOS")</f>
        <v>COMITES VECINALES INSTALADOS</v>
      </c>
      <c r="B2" s="23">
        <f ca="1">IFERROR(__xludf.DUMMYFUNCTION("""COMPUTED_VALUE"""),88)</f>
        <v>88</v>
      </c>
      <c r="C2" s="23" t="str">
        <f ca="1">IFERROR(__xludf.DUMMYFUNCTION("""COMPUTED_VALUE"""),"COMITE")</f>
        <v>COMITE</v>
      </c>
      <c r="D2" s="23" t="str">
        <f ca="1">IFERROR(__xludf.DUMMYFUNCTION("""COMPUTED_VALUE"""),"ASCENDENTE")</f>
        <v>ASCENDENTE</v>
      </c>
      <c r="E2" s="23" t="str">
        <f ca="1">IFERROR(__xludf.DUMMYFUNCTION("""COMPUTED_VALUE"""),"SESIONES PUBLICAS")</f>
        <v>SESIONES PUBLICAS</v>
      </c>
      <c r="F2" s="23">
        <f ca="1">IFERROR(__xludf.DUMMYFUNCTION("""COMPUTED_VALUE"""),28.4090909090909)</f>
        <v>28.409090909090899</v>
      </c>
      <c r="G2" s="23">
        <f ca="1">IFERROR(__xludf.DUMMYFUNCTION("""COMPUTED_VALUE"""),0)</f>
        <v>0</v>
      </c>
      <c r="H2" s="23">
        <f ca="1">IFERROR(__xludf.DUMMYFUNCTION("""COMPUTED_VALUE"""),0)</f>
        <v>0</v>
      </c>
      <c r="I2" s="23">
        <f ca="1">IFERROR(__xludf.DUMMYFUNCTION("""COMPUTED_VALUE"""),0)</f>
        <v>0</v>
      </c>
      <c r="J2" s="23">
        <f ca="1">IFERROR(__xludf.DUMMYFUNCTION("""COMPUTED_VALUE"""),7)</f>
        <v>7</v>
      </c>
      <c r="K2" s="23">
        <f ca="1">IFERROR(__xludf.DUMMYFUNCTION("""COMPUTED_VALUE"""),10)</f>
        <v>10</v>
      </c>
      <c r="L2" s="23">
        <f ca="1">IFERROR(__xludf.DUMMYFUNCTION("""COMPUTED_VALUE"""),8)</f>
        <v>8</v>
      </c>
      <c r="M2" s="23">
        <f ca="1">IFERROR(__xludf.DUMMYFUNCTION("""COMPUTED_VALUE"""),0)</f>
        <v>0</v>
      </c>
      <c r="N2" s="23">
        <f ca="1">IFERROR(__xludf.DUMMYFUNCTION("""COMPUTED_VALUE"""),0)</f>
        <v>0</v>
      </c>
      <c r="O2" s="23">
        <f ca="1">IFERROR(__xludf.DUMMYFUNCTION("""COMPUTED_VALUE"""),0)</f>
        <v>0</v>
      </c>
      <c r="P2" s="23">
        <f ca="1">IFERROR(__xludf.DUMMYFUNCTION("""COMPUTED_VALUE"""),0)</f>
        <v>0</v>
      </c>
      <c r="Q2" s="23">
        <f ca="1">IFERROR(__xludf.DUMMYFUNCTION("""COMPUTED_VALUE"""),0)</f>
        <v>0</v>
      </c>
      <c r="R2" s="23">
        <f ca="1">IFERROR(__xludf.DUMMYFUNCTION("""COMPUTED_VALUE"""),0)</f>
        <v>0</v>
      </c>
      <c r="S2" s="23">
        <f ca="1">IFERROR(__xludf.DUMMYFUNCTION("""COMPUTED_VALUE"""),25)</f>
        <v>25</v>
      </c>
    </row>
    <row r="3" spans="1:19">
      <c r="A3" s="23" t="str">
        <f ca="1">IFERROR(__xludf.DUMMYFUNCTION("""COMPUTED_VALUE"""),"COMITES DE OBRA INSTALADOS")</f>
        <v>COMITES DE OBRA INSTALADOS</v>
      </c>
      <c r="B3" s="23">
        <f ca="1">IFERROR(__xludf.DUMMYFUNCTION("""COMPUTED_VALUE"""),72)</f>
        <v>72</v>
      </c>
      <c r="C3" s="23" t="str">
        <f ca="1">IFERROR(__xludf.DUMMYFUNCTION("""COMPUTED_VALUE"""),"COMITE")</f>
        <v>COMITE</v>
      </c>
      <c r="D3" s="23" t="str">
        <f ca="1">IFERROR(__xludf.DUMMYFUNCTION("""COMPUTED_VALUE"""),"ASCENDENTE")</f>
        <v>ASCENDENTE</v>
      </c>
      <c r="E3" s="23" t="str">
        <f ca="1">IFERROR(__xludf.DUMMYFUNCTION("""COMPUTED_VALUE"""),"BITACORA DE ATENCION")</f>
        <v>BITACORA DE ATENCION</v>
      </c>
      <c r="F3" s="23">
        <f ca="1">IFERROR(__xludf.DUMMYFUNCTION("""COMPUTED_VALUE"""),9.72222222222222)</f>
        <v>9.7222222222222197</v>
      </c>
      <c r="G3" s="23">
        <f ca="1">IFERROR(__xludf.DUMMYFUNCTION("""COMPUTED_VALUE"""),0)</f>
        <v>0</v>
      </c>
      <c r="H3" s="23">
        <f ca="1">IFERROR(__xludf.DUMMYFUNCTION("""COMPUTED_VALUE"""),0)</f>
        <v>0</v>
      </c>
      <c r="I3" s="23">
        <f ca="1">IFERROR(__xludf.DUMMYFUNCTION("""COMPUTED_VALUE"""),0)</f>
        <v>0</v>
      </c>
      <c r="J3" s="23">
        <f ca="1">IFERROR(__xludf.DUMMYFUNCTION("""COMPUTED_VALUE"""),0)</f>
        <v>0</v>
      </c>
      <c r="K3" s="23">
        <f ca="1">IFERROR(__xludf.DUMMYFUNCTION("""COMPUTED_VALUE"""),7)</f>
        <v>7</v>
      </c>
      <c r="L3" s="23">
        <f ca="1">IFERROR(__xludf.DUMMYFUNCTION("""COMPUTED_VALUE"""),0)</f>
        <v>0</v>
      </c>
      <c r="M3" s="23">
        <f ca="1">IFERROR(__xludf.DUMMYFUNCTION("""COMPUTED_VALUE"""),0)</f>
        <v>0</v>
      </c>
      <c r="N3" s="23">
        <f ca="1">IFERROR(__xludf.DUMMYFUNCTION("""COMPUTED_VALUE"""),0)</f>
        <v>0</v>
      </c>
      <c r="O3" s="23">
        <f ca="1">IFERROR(__xludf.DUMMYFUNCTION("""COMPUTED_VALUE"""),0)</f>
        <v>0</v>
      </c>
      <c r="P3" s="23">
        <f ca="1">IFERROR(__xludf.DUMMYFUNCTION("""COMPUTED_VALUE"""),0)</f>
        <v>0</v>
      </c>
      <c r="Q3" s="23">
        <f ca="1">IFERROR(__xludf.DUMMYFUNCTION("""COMPUTED_VALUE"""),0)</f>
        <v>0</v>
      </c>
      <c r="R3" s="23">
        <f ca="1">IFERROR(__xludf.DUMMYFUNCTION("""COMPUTED_VALUE"""),0)</f>
        <v>0</v>
      </c>
      <c r="S3" s="23">
        <f ca="1">IFERROR(__xludf.DUMMYFUNCTION("""COMPUTED_VALUE"""),7)</f>
        <v>7</v>
      </c>
    </row>
    <row r="4" spans="1:19">
      <c r="A4" s="23" t="str">
        <f ca="1">IFERROR(__xludf.DUMMYFUNCTION("""COMPUTED_VALUE"""),"EVENTOS REALIZADOS ")</f>
        <v xml:space="preserve">EVENTOS REALIZADOS </v>
      </c>
      <c r="B4" s="23">
        <f ca="1">IFERROR(__xludf.DUMMYFUNCTION("""COMPUTED_VALUE"""),36)</f>
        <v>36</v>
      </c>
      <c r="C4" s="23" t="str">
        <f ca="1">IFERROR(__xludf.DUMMYFUNCTION("""COMPUTED_VALUE"""),"EVENTO")</f>
        <v>EVENTO</v>
      </c>
      <c r="D4" s="23" t="str">
        <f ca="1">IFERROR(__xludf.DUMMYFUNCTION("""COMPUTED_VALUE"""),"ASCENDENTE")</f>
        <v>ASCENDENTE</v>
      </c>
      <c r="E4" s="23" t="str">
        <f ca="1">IFERROR(__xludf.DUMMYFUNCTION("""COMPUTED_VALUE"""),"BITACORA DE ATENCION")</f>
        <v>BITACORA DE ATENCION</v>
      </c>
      <c r="F4" s="23">
        <f ca="1">IFERROR(__xludf.DUMMYFUNCTION("""COMPUTED_VALUE"""),13.8888888888888)</f>
        <v>13.8888888888888</v>
      </c>
      <c r="G4" s="23">
        <f ca="1">IFERROR(__xludf.DUMMYFUNCTION("""COMPUTED_VALUE"""),0)</f>
        <v>0</v>
      </c>
      <c r="H4" s="23">
        <f ca="1">IFERROR(__xludf.DUMMYFUNCTION("""COMPUTED_VALUE"""),0)</f>
        <v>0</v>
      </c>
      <c r="I4" s="23">
        <f ca="1">IFERROR(__xludf.DUMMYFUNCTION("""COMPUTED_VALUE"""),0)</f>
        <v>0</v>
      </c>
      <c r="J4" s="23">
        <f ca="1">IFERROR(__xludf.DUMMYFUNCTION("""COMPUTED_VALUE"""),2)</f>
        <v>2</v>
      </c>
      <c r="K4" s="23">
        <f ca="1">IFERROR(__xludf.DUMMYFUNCTION("""COMPUTED_VALUE"""),3)</f>
        <v>3</v>
      </c>
      <c r="L4" s="23">
        <f ca="1">IFERROR(__xludf.DUMMYFUNCTION("""COMPUTED_VALUE"""),0)</f>
        <v>0</v>
      </c>
      <c r="M4" s="23">
        <f ca="1">IFERROR(__xludf.DUMMYFUNCTION("""COMPUTED_VALUE"""),0)</f>
        <v>0</v>
      </c>
      <c r="N4" s="23">
        <f ca="1">IFERROR(__xludf.DUMMYFUNCTION("""COMPUTED_VALUE"""),0)</f>
        <v>0</v>
      </c>
      <c r="O4" s="23">
        <f ca="1">IFERROR(__xludf.DUMMYFUNCTION("""COMPUTED_VALUE"""),0)</f>
        <v>0</v>
      </c>
      <c r="P4" s="23">
        <f ca="1">IFERROR(__xludf.DUMMYFUNCTION("""COMPUTED_VALUE"""),0)</f>
        <v>0</v>
      </c>
      <c r="Q4" s="23">
        <f ca="1">IFERROR(__xludf.DUMMYFUNCTION("""COMPUTED_VALUE"""),0)</f>
        <v>0</v>
      </c>
      <c r="R4" s="23">
        <f ca="1">IFERROR(__xludf.DUMMYFUNCTION("""COMPUTED_VALUE"""),0)</f>
        <v>0</v>
      </c>
      <c r="S4" s="23">
        <f ca="1">IFERROR(__xludf.DUMMYFUNCTION("""COMPUTED_VALUE"""),5)</f>
        <v>5</v>
      </c>
    </row>
    <row r="5" spans="1:19">
      <c r="A5" s="23" t="str">
        <f ca="1">IFERROR(__xludf.DUMMYFUNCTION("""COMPUTED_VALUE"""),"SESIONES DE TALLERES CULTURALES")</f>
        <v>SESIONES DE TALLERES CULTURALES</v>
      </c>
      <c r="B5" s="23">
        <f ca="1">IFERROR(__xludf.DUMMYFUNCTION("""COMPUTED_VALUE"""),1)</f>
        <v>1</v>
      </c>
      <c r="C5" s="23" t="str">
        <f ca="1">IFERROR(__xludf.DUMMYFUNCTION("""COMPUTED_VALUE"""),"TALLERES")</f>
        <v>TALLERES</v>
      </c>
      <c r="D5" s="23" t="str">
        <f ca="1">IFERROR(__xludf.DUMMYFUNCTION("""COMPUTED_VALUE"""),"ASCENDENTE")</f>
        <v>ASCENDENTE</v>
      </c>
      <c r="E5" s="23" t="str">
        <f ca="1">IFERROR(__xludf.DUMMYFUNCTION("""COMPUTED_VALUE"""),"BITACORA OPERATIVA")</f>
        <v>BITACORA OPERATIVA</v>
      </c>
      <c r="F5" s="23">
        <f ca="1">IFERROR(__xludf.DUMMYFUNCTION("""COMPUTED_VALUE"""),100)</f>
        <v>100</v>
      </c>
      <c r="G5" s="23">
        <f ca="1">IFERROR(__xludf.DUMMYFUNCTION("""COMPUTED_VALUE"""),0)</f>
        <v>0</v>
      </c>
      <c r="H5" s="23">
        <f ca="1">IFERROR(__xludf.DUMMYFUNCTION("""COMPUTED_VALUE"""),0)</f>
        <v>0</v>
      </c>
      <c r="I5" s="23">
        <f ca="1">IFERROR(__xludf.DUMMYFUNCTION("""COMPUTED_VALUE"""),0)</f>
        <v>0</v>
      </c>
      <c r="J5" s="23">
        <f ca="1">IFERROR(__xludf.DUMMYFUNCTION("""COMPUTED_VALUE"""),0)</f>
        <v>0</v>
      </c>
      <c r="K5" s="23">
        <f ca="1">IFERROR(__xludf.DUMMYFUNCTION("""COMPUTED_VALUE"""),0)</f>
        <v>0</v>
      </c>
      <c r="L5" s="23">
        <f ca="1">IFERROR(__xludf.DUMMYFUNCTION("""COMPUTED_VALUE"""),1)</f>
        <v>1</v>
      </c>
      <c r="M5" s="23">
        <f ca="1">IFERROR(__xludf.DUMMYFUNCTION("""COMPUTED_VALUE"""),0)</f>
        <v>0</v>
      </c>
      <c r="N5" s="23">
        <f ca="1">IFERROR(__xludf.DUMMYFUNCTION("""COMPUTED_VALUE"""),0)</f>
        <v>0</v>
      </c>
      <c r="O5" s="23">
        <f ca="1">IFERROR(__xludf.DUMMYFUNCTION("""COMPUTED_VALUE"""),0)</f>
        <v>0</v>
      </c>
      <c r="P5" s="23">
        <f ca="1">IFERROR(__xludf.DUMMYFUNCTION("""COMPUTED_VALUE"""),0)</f>
        <v>0</v>
      </c>
      <c r="Q5" s="23">
        <f ca="1">IFERROR(__xludf.DUMMYFUNCTION("""COMPUTED_VALUE"""),0)</f>
        <v>0</v>
      </c>
      <c r="R5" s="23">
        <f ca="1">IFERROR(__xludf.DUMMYFUNCTION("""COMPUTED_VALUE"""),0)</f>
        <v>0</v>
      </c>
      <c r="S5" s="23">
        <f ca="1">IFERROR(__xludf.DUMMYFUNCTION("""COMPUTED_VALUE"""),1)</f>
        <v>1</v>
      </c>
    </row>
    <row r="6" spans="1:19">
      <c r="A6" s="23" t="str">
        <f ca="1">IFERROR(__xludf.DUMMYFUNCTION("""COMPUTED_VALUE"""),"PERSONAS BENEFICIADAS")</f>
        <v>PERSONAS BENEFICIADAS</v>
      </c>
      <c r="B6" s="23">
        <f ca="1">IFERROR(__xludf.DUMMYFUNCTION("""COMPUTED_VALUE"""),52520)</f>
        <v>52520</v>
      </c>
      <c r="C6" s="23" t="str">
        <f ca="1">IFERROR(__xludf.DUMMYFUNCTION("""COMPUTED_VALUE"""),"PERSONAS")</f>
        <v>PERSONAS</v>
      </c>
      <c r="D6" s="23" t="str">
        <f ca="1">IFERROR(__xludf.DUMMYFUNCTION("""COMPUTED_VALUE"""),"ASCENDENTE")</f>
        <v>ASCENDENTE</v>
      </c>
      <c r="E6" s="23" t="str">
        <f ca="1">IFERROR(__xludf.DUMMYFUNCTION("""COMPUTED_VALUE"""),"BITACORA OPERATIVA")</f>
        <v>BITACORA OPERATIVA</v>
      </c>
      <c r="F6" s="23">
        <f ca="1">IFERROR(__xludf.DUMMYFUNCTION("""COMPUTED_VALUE"""),25.057121096725)</f>
        <v>25.057121096725002</v>
      </c>
      <c r="G6" s="23">
        <f ca="1">IFERROR(__xludf.DUMMYFUNCTION("""COMPUTED_VALUE"""),0)</f>
        <v>0</v>
      </c>
      <c r="H6" s="23">
        <f ca="1">IFERROR(__xludf.DUMMYFUNCTION("""COMPUTED_VALUE"""),0)</f>
        <v>0</v>
      </c>
      <c r="I6" s="23">
        <f ca="1">IFERROR(__xludf.DUMMYFUNCTION("""COMPUTED_VALUE"""),0)</f>
        <v>0</v>
      </c>
      <c r="J6" s="23">
        <f ca="1">IFERROR(__xludf.DUMMYFUNCTION("""COMPUTED_VALUE"""),800)</f>
        <v>800</v>
      </c>
      <c r="K6" s="23">
        <f ca="1">IFERROR(__xludf.DUMMYFUNCTION("""COMPUTED_VALUE"""),12250)</f>
        <v>12250</v>
      </c>
      <c r="L6" s="23">
        <f ca="1">IFERROR(__xludf.DUMMYFUNCTION("""COMPUTED_VALUE"""),110)</f>
        <v>110</v>
      </c>
      <c r="M6" s="23">
        <f ca="1">IFERROR(__xludf.DUMMYFUNCTION("""COMPUTED_VALUE"""),0)</f>
        <v>0</v>
      </c>
      <c r="N6" s="23">
        <f ca="1">IFERROR(__xludf.DUMMYFUNCTION("""COMPUTED_VALUE"""),0)</f>
        <v>0</v>
      </c>
      <c r="O6" s="23">
        <f ca="1">IFERROR(__xludf.DUMMYFUNCTION("""COMPUTED_VALUE"""),0)</f>
        <v>0</v>
      </c>
      <c r="P6" s="23">
        <f ca="1">IFERROR(__xludf.DUMMYFUNCTION("""COMPUTED_VALUE"""),0)</f>
        <v>0</v>
      </c>
      <c r="Q6" s="23">
        <f ca="1">IFERROR(__xludf.DUMMYFUNCTION("""COMPUTED_VALUE"""),0)</f>
        <v>0</v>
      </c>
      <c r="R6" s="23">
        <f ca="1">IFERROR(__xludf.DUMMYFUNCTION("""COMPUTED_VALUE"""),0)</f>
        <v>0</v>
      </c>
      <c r="S6" s="23">
        <f ca="1">IFERROR(__xludf.DUMMYFUNCTION("""COMPUTED_VALUE"""),13160)</f>
        <v>13160</v>
      </c>
    </row>
    <row r="7" spans="1:19">
      <c r="A7" s="23" t="str">
        <f ca="1">IFERROR(__xludf.DUMMYFUNCTION("""COMPUTED_VALUE"""),"CLASES DE ESCUELA DE FUTBOL")</f>
        <v>CLASES DE ESCUELA DE FUTBOL</v>
      </c>
      <c r="B7" s="23">
        <f ca="1">IFERROR(__xludf.DUMMYFUNCTION("""COMPUTED_VALUE"""),456)</f>
        <v>456</v>
      </c>
      <c r="C7" s="23" t="str">
        <f ca="1">IFERROR(__xludf.DUMMYFUNCTION("""COMPUTED_VALUE"""),"CLASES")</f>
        <v>CLASES</v>
      </c>
      <c r="D7" s="23" t="str">
        <f ca="1">IFERROR(__xludf.DUMMYFUNCTION("""COMPUTED_VALUE"""),"ASCENDENTE")</f>
        <v>ASCENDENTE</v>
      </c>
      <c r="E7" s="23" t="str">
        <f ca="1">IFERROR(__xludf.DUMMYFUNCTION("""COMPUTED_VALUE"""),"BITACORA OPERATIVA")</f>
        <v>BITACORA OPERATIVA</v>
      </c>
      <c r="F7" s="23">
        <f ca="1">IFERROR(__xludf.DUMMYFUNCTION("""COMPUTED_VALUE"""),25)</f>
        <v>25</v>
      </c>
      <c r="G7" s="23">
        <f ca="1">IFERROR(__xludf.DUMMYFUNCTION("""COMPUTED_VALUE"""),0)</f>
        <v>0</v>
      </c>
      <c r="H7" s="23">
        <f ca="1">IFERROR(__xludf.DUMMYFUNCTION("""COMPUTED_VALUE"""),0)</f>
        <v>0</v>
      </c>
      <c r="I7" s="23">
        <f ca="1">IFERROR(__xludf.DUMMYFUNCTION("""COMPUTED_VALUE"""),0)</f>
        <v>0</v>
      </c>
      <c r="J7" s="23">
        <f ca="1">IFERROR(__xludf.DUMMYFUNCTION("""COMPUTED_VALUE"""),38)</f>
        <v>38</v>
      </c>
      <c r="K7" s="23">
        <f ca="1">IFERROR(__xludf.DUMMYFUNCTION("""COMPUTED_VALUE"""),38)</f>
        <v>38</v>
      </c>
      <c r="L7" s="23">
        <f ca="1">IFERROR(__xludf.DUMMYFUNCTION("""COMPUTED_VALUE"""),38)</f>
        <v>38</v>
      </c>
      <c r="M7" s="23">
        <f ca="1">IFERROR(__xludf.DUMMYFUNCTION("""COMPUTED_VALUE"""),0)</f>
        <v>0</v>
      </c>
      <c r="N7" s="23">
        <f ca="1">IFERROR(__xludf.DUMMYFUNCTION("""COMPUTED_VALUE"""),0)</f>
        <v>0</v>
      </c>
      <c r="O7" s="23">
        <f ca="1">IFERROR(__xludf.DUMMYFUNCTION("""COMPUTED_VALUE"""),0)</f>
        <v>0</v>
      </c>
      <c r="P7" s="23">
        <f ca="1">IFERROR(__xludf.DUMMYFUNCTION("""COMPUTED_VALUE"""),0)</f>
        <v>0</v>
      </c>
      <c r="Q7" s="23">
        <f ca="1">IFERROR(__xludf.DUMMYFUNCTION("""COMPUTED_VALUE"""),0)</f>
        <v>0</v>
      </c>
      <c r="R7" s="23">
        <f ca="1">IFERROR(__xludf.DUMMYFUNCTION("""COMPUTED_VALUE"""),0)</f>
        <v>0</v>
      </c>
      <c r="S7" s="23">
        <f ca="1">IFERROR(__xludf.DUMMYFUNCTION("""COMPUTED_VALUE"""),114)</f>
        <v>114</v>
      </c>
    </row>
    <row r="8" spans="1:19">
      <c r="A8" s="23" t="str">
        <f ca="1">IFERROR(__xludf.DUMMYFUNCTION("""COMPUTED_VALUE"""),"CLASES DE ESCUELA DE BASQUETBOL")</f>
        <v>CLASES DE ESCUELA DE BASQUETBOL</v>
      </c>
      <c r="B8" s="23">
        <f ca="1">IFERROR(__xludf.DUMMYFUNCTION("""COMPUTED_VALUE"""),84)</f>
        <v>84</v>
      </c>
      <c r="C8" s="23" t="str">
        <f ca="1">IFERROR(__xludf.DUMMYFUNCTION("""COMPUTED_VALUE"""),"CLASES")</f>
        <v>CLASES</v>
      </c>
      <c r="D8" s="23" t="str">
        <f ca="1">IFERROR(__xludf.DUMMYFUNCTION("""COMPUTED_VALUE"""),"ASCENDENTE")</f>
        <v>ASCENDENTE</v>
      </c>
      <c r="E8" s="23" t="str">
        <f ca="1">IFERROR(__xludf.DUMMYFUNCTION("""COMPUTED_VALUE"""),"BITACORA OPERATIVA")</f>
        <v>BITACORA OPERATIVA</v>
      </c>
      <c r="F8" s="23">
        <f ca="1">IFERROR(__xludf.DUMMYFUNCTION("""COMPUTED_VALUE"""),25)</f>
        <v>25</v>
      </c>
      <c r="G8" s="23">
        <f ca="1">IFERROR(__xludf.DUMMYFUNCTION("""COMPUTED_VALUE"""),0)</f>
        <v>0</v>
      </c>
      <c r="H8" s="23">
        <f ca="1">IFERROR(__xludf.DUMMYFUNCTION("""COMPUTED_VALUE"""),0)</f>
        <v>0</v>
      </c>
      <c r="I8" s="23">
        <f ca="1">IFERROR(__xludf.DUMMYFUNCTION("""COMPUTED_VALUE"""),0)</f>
        <v>0</v>
      </c>
      <c r="J8" s="23">
        <f ca="1">IFERROR(__xludf.DUMMYFUNCTION("""COMPUTED_VALUE"""),7)</f>
        <v>7</v>
      </c>
      <c r="K8" s="23">
        <f ca="1">IFERROR(__xludf.DUMMYFUNCTION("""COMPUTED_VALUE"""),7)</f>
        <v>7</v>
      </c>
      <c r="L8" s="23">
        <f ca="1">IFERROR(__xludf.DUMMYFUNCTION("""COMPUTED_VALUE"""),7)</f>
        <v>7</v>
      </c>
      <c r="M8" s="23">
        <f ca="1">IFERROR(__xludf.DUMMYFUNCTION("""COMPUTED_VALUE"""),0)</f>
        <v>0</v>
      </c>
      <c r="N8" s="23">
        <f ca="1">IFERROR(__xludf.DUMMYFUNCTION("""COMPUTED_VALUE"""),0)</f>
        <v>0</v>
      </c>
      <c r="O8" s="23">
        <f ca="1">IFERROR(__xludf.DUMMYFUNCTION("""COMPUTED_VALUE"""),0)</f>
        <v>0</v>
      </c>
      <c r="P8" s="23">
        <f ca="1">IFERROR(__xludf.DUMMYFUNCTION("""COMPUTED_VALUE"""),0)</f>
        <v>0</v>
      </c>
      <c r="Q8" s="23">
        <f ca="1">IFERROR(__xludf.DUMMYFUNCTION("""COMPUTED_VALUE"""),0)</f>
        <v>0</v>
      </c>
      <c r="R8" s="23">
        <f ca="1">IFERROR(__xludf.DUMMYFUNCTION("""COMPUTED_VALUE"""),0)</f>
        <v>0</v>
      </c>
      <c r="S8" s="23">
        <f ca="1">IFERROR(__xludf.DUMMYFUNCTION("""COMPUTED_VALUE"""),21)</f>
        <v>21</v>
      </c>
    </row>
    <row r="9" spans="1:19">
      <c r="A9" s="23" t="str">
        <f ca="1">IFERROR(__xludf.DUMMYFUNCTION("""COMPUTED_VALUE"""),"CLASES ESCUELA VOLEYBOL")</f>
        <v>CLASES ESCUELA VOLEYBOL</v>
      </c>
      <c r="B9" s="23">
        <f ca="1">IFERROR(__xludf.DUMMYFUNCTION("""COMPUTED_VALUE"""),240)</f>
        <v>240</v>
      </c>
      <c r="C9" s="23" t="str">
        <f ca="1">IFERROR(__xludf.DUMMYFUNCTION("""COMPUTED_VALUE"""),"CLASES")</f>
        <v>CLASES</v>
      </c>
      <c r="D9" s="23" t="str">
        <f ca="1">IFERROR(__xludf.DUMMYFUNCTION("""COMPUTED_VALUE"""),"ASCENDENTE")</f>
        <v>ASCENDENTE</v>
      </c>
      <c r="E9" s="23" t="str">
        <f ca="1">IFERROR(__xludf.DUMMYFUNCTION("""COMPUTED_VALUE"""),"BITACORA OPERATIVA")</f>
        <v>BITACORA OPERATIVA</v>
      </c>
      <c r="F9" s="23">
        <f ca="1">IFERROR(__xludf.DUMMYFUNCTION("""COMPUTED_VALUE"""),25)</f>
        <v>25</v>
      </c>
      <c r="G9" s="23">
        <f ca="1">IFERROR(__xludf.DUMMYFUNCTION("""COMPUTED_VALUE"""),0)</f>
        <v>0</v>
      </c>
      <c r="H9" s="23">
        <f ca="1">IFERROR(__xludf.DUMMYFUNCTION("""COMPUTED_VALUE"""),0)</f>
        <v>0</v>
      </c>
      <c r="I9" s="23">
        <f ca="1">IFERROR(__xludf.DUMMYFUNCTION("""COMPUTED_VALUE"""),0)</f>
        <v>0</v>
      </c>
      <c r="J9" s="23">
        <f ca="1">IFERROR(__xludf.DUMMYFUNCTION("""COMPUTED_VALUE"""),20)</f>
        <v>20</v>
      </c>
      <c r="K9" s="23">
        <f ca="1">IFERROR(__xludf.DUMMYFUNCTION("""COMPUTED_VALUE"""),20)</f>
        <v>20</v>
      </c>
      <c r="L9" s="23">
        <f ca="1">IFERROR(__xludf.DUMMYFUNCTION("""COMPUTED_VALUE"""),20)</f>
        <v>20</v>
      </c>
      <c r="M9" s="23">
        <f ca="1">IFERROR(__xludf.DUMMYFUNCTION("""COMPUTED_VALUE"""),0)</f>
        <v>0</v>
      </c>
      <c r="N9" s="23">
        <f ca="1">IFERROR(__xludf.DUMMYFUNCTION("""COMPUTED_VALUE"""),0)</f>
        <v>0</v>
      </c>
      <c r="O9" s="23">
        <f ca="1">IFERROR(__xludf.DUMMYFUNCTION("""COMPUTED_VALUE"""),0)</f>
        <v>0</v>
      </c>
      <c r="P9" s="23">
        <f ca="1">IFERROR(__xludf.DUMMYFUNCTION("""COMPUTED_VALUE"""),0)</f>
        <v>0</v>
      </c>
      <c r="Q9" s="23">
        <f ca="1">IFERROR(__xludf.DUMMYFUNCTION("""COMPUTED_VALUE"""),0)</f>
        <v>0</v>
      </c>
      <c r="R9" s="23">
        <f ca="1">IFERROR(__xludf.DUMMYFUNCTION("""COMPUTED_VALUE"""),0)</f>
        <v>0</v>
      </c>
      <c r="S9" s="23">
        <f ca="1">IFERROR(__xludf.DUMMYFUNCTION("""COMPUTED_VALUE"""),60)</f>
        <v>60</v>
      </c>
    </row>
    <row r="10" spans="1:19">
      <c r="A10" s="23" t="str">
        <f ca="1">IFERROR(__xludf.DUMMYFUNCTION("""COMPUTED_VALUE"""),"CLASES ESCUELA DE BOX")</f>
        <v>CLASES ESCUELA DE BOX</v>
      </c>
      <c r="B10" s="23">
        <f ca="1">IFERROR(__xludf.DUMMYFUNCTION("""COMPUTED_VALUE"""),216)</f>
        <v>216</v>
      </c>
      <c r="C10" s="23" t="str">
        <f ca="1">IFERROR(__xludf.DUMMYFUNCTION("""COMPUTED_VALUE"""),"CLASES")</f>
        <v>CLASES</v>
      </c>
      <c r="D10" s="23" t="str">
        <f ca="1">IFERROR(__xludf.DUMMYFUNCTION("""COMPUTED_VALUE"""),"ASCENDENTE")</f>
        <v>ASCENDENTE</v>
      </c>
      <c r="E10" s="23" t="str">
        <f ca="1">IFERROR(__xludf.DUMMYFUNCTION("""COMPUTED_VALUE"""),"BITACORA OPERATIVA")</f>
        <v>BITACORA OPERATIVA</v>
      </c>
      <c r="F10" s="23">
        <f ca="1">IFERROR(__xludf.DUMMYFUNCTION("""COMPUTED_VALUE"""),25)</f>
        <v>25</v>
      </c>
      <c r="G10" s="23">
        <f ca="1">IFERROR(__xludf.DUMMYFUNCTION("""COMPUTED_VALUE"""),0)</f>
        <v>0</v>
      </c>
      <c r="H10" s="23">
        <f ca="1">IFERROR(__xludf.DUMMYFUNCTION("""COMPUTED_VALUE"""),0)</f>
        <v>0</v>
      </c>
      <c r="I10" s="23">
        <f ca="1">IFERROR(__xludf.DUMMYFUNCTION("""COMPUTED_VALUE"""),0)</f>
        <v>0</v>
      </c>
      <c r="J10" s="23">
        <f ca="1">IFERROR(__xludf.DUMMYFUNCTION("""COMPUTED_VALUE"""),18)</f>
        <v>18</v>
      </c>
      <c r="K10" s="23">
        <f ca="1">IFERROR(__xludf.DUMMYFUNCTION("""COMPUTED_VALUE"""),18)</f>
        <v>18</v>
      </c>
      <c r="L10" s="23">
        <f ca="1">IFERROR(__xludf.DUMMYFUNCTION("""COMPUTED_VALUE"""),18)</f>
        <v>18</v>
      </c>
      <c r="M10" s="23">
        <f ca="1">IFERROR(__xludf.DUMMYFUNCTION("""COMPUTED_VALUE"""),0)</f>
        <v>0</v>
      </c>
      <c r="N10" s="23">
        <f ca="1">IFERROR(__xludf.DUMMYFUNCTION("""COMPUTED_VALUE"""),0)</f>
        <v>0</v>
      </c>
      <c r="O10" s="23">
        <f ca="1">IFERROR(__xludf.DUMMYFUNCTION("""COMPUTED_VALUE"""),0)</f>
        <v>0</v>
      </c>
      <c r="P10" s="23">
        <f ca="1">IFERROR(__xludf.DUMMYFUNCTION("""COMPUTED_VALUE"""),0)</f>
        <v>0</v>
      </c>
      <c r="Q10" s="23">
        <f ca="1">IFERROR(__xludf.DUMMYFUNCTION("""COMPUTED_VALUE"""),0)</f>
        <v>0</v>
      </c>
      <c r="R10" s="23">
        <f ca="1">IFERROR(__xludf.DUMMYFUNCTION("""COMPUTED_VALUE"""),0)</f>
        <v>0</v>
      </c>
      <c r="S10" s="23">
        <f ca="1">IFERROR(__xludf.DUMMYFUNCTION("""COMPUTED_VALUE"""),54)</f>
        <v>54</v>
      </c>
    </row>
    <row r="11" spans="1:19">
      <c r="A11" s="23" t="str">
        <f ca="1">IFERROR(__xludf.DUMMYFUNCTION("""COMPUTED_VALUE"""),"CLASES ESCUELA DE NATACION")</f>
        <v>CLASES ESCUELA DE NATACION</v>
      </c>
      <c r="B11" s="23">
        <f ca="1">IFERROR(__xludf.DUMMYFUNCTION("""COMPUTED_VALUE"""),2088)</f>
        <v>2088</v>
      </c>
      <c r="C11" s="23" t="str">
        <f ca="1">IFERROR(__xludf.DUMMYFUNCTION("""COMPUTED_VALUE"""),"CLASES")</f>
        <v>CLASES</v>
      </c>
      <c r="D11" s="23" t="str">
        <f ca="1">IFERROR(__xludf.DUMMYFUNCTION("""COMPUTED_VALUE"""),"ASCENDENTE")</f>
        <v>ASCENDENTE</v>
      </c>
      <c r="E11" s="23" t="str">
        <f ca="1">IFERROR(__xludf.DUMMYFUNCTION("""COMPUTED_VALUE"""),"BITACORA OPERATIVA")</f>
        <v>BITACORA OPERATIVA</v>
      </c>
      <c r="F11" s="23">
        <f ca="1">IFERROR(__xludf.DUMMYFUNCTION("""COMPUTED_VALUE"""),25)</f>
        <v>25</v>
      </c>
      <c r="G11" s="23">
        <f ca="1">IFERROR(__xludf.DUMMYFUNCTION("""COMPUTED_VALUE"""),0)</f>
        <v>0</v>
      </c>
      <c r="H11" s="23">
        <f ca="1">IFERROR(__xludf.DUMMYFUNCTION("""COMPUTED_VALUE"""),0)</f>
        <v>0</v>
      </c>
      <c r="I11" s="23">
        <f ca="1">IFERROR(__xludf.DUMMYFUNCTION("""COMPUTED_VALUE"""),0)</f>
        <v>0</v>
      </c>
      <c r="J11" s="23">
        <f ca="1">IFERROR(__xludf.DUMMYFUNCTION("""COMPUTED_VALUE"""),174)</f>
        <v>174</v>
      </c>
      <c r="K11" s="23">
        <f ca="1">IFERROR(__xludf.DUMMYFUNCTION("""COMPUTED_VALUE"""),174)</f>
        <v>174</v>
      </c>
      <c r="L11" s="23">
        <f ca="1">IFERROR(__xludf.DUMMYFUNCTION("""COMPUTED_VALUE"""),174)</f>
        <v>174</v>
      </c>
      <c r="M11" s="23">
        <f ca="1">IFERROR(__xludf.DUMMYFUNCTION("""COMPUTED_VALUE"""),0)</f>
        <v>0</v>
      </c>
      <c r="N11" s="23">
        <f ca="1">IFERROR(__xludf.DUMMYFUNCTION("""COMPUTED_VALUE"""),0)</f>
        <v>0</v>
      </c>
      <c r="O11" s="23">
        <f ca="1">IFERROR(__xludf.DUMMYFUNCTION("""COMPUTED_VALUE"""),0)</f>
        <v>0</v>
      </c>
      <c r="P11" s="23">
        <f ca="1">IFERROR(__xludf.DUMMYFUNCTION("""COMPUTED_VALUE"""),0)</f>
        <v>0</v>
      </c>
      <c r="Q11" s="23">
        <f ca="1">IFERROR(__xludf.DUMMYFUNCTION("""COMPUTED_VALUE"""),0)</f>
        <v>0</v>
      </c>
      <c r="R11" s="23">
        <f ca="1">IFERROR(__xludf.DUMMYFUNCTION("""COMPUTED_VALUE"""),0)</f>
        <v>0</v>
      </c>
      <c r="S11" s="23">
        <f ca="1">IFERROR(__xludf.DUMMYFUNCTION("""COMPUTED_VALUE"""),522)</f>
        <v>522</v>
      </c>
    </row>
    <row r="12" spans="1:19">
      <c r="A12" s="23" t="str">
        <f ca="1">IFERROR(__xludf.DUMMYFUNCTION("""COMPUTED_VALUE"""),"CLASES GIMNACIO MUNICIPAL")</f>
        <v>CLASES GIMNACIO MUNICIPAL</v>
      </c>
      <c r="B12" s="23">
        <f ca="1">IFERROR(__xludf.DUMMYFUNCTION("""COMPUTED_VALUE"""),864)</f>
        <v>864</v>
      </c>
      <c r="C12" s="23" t="str">
        <f ca="1">IFERROR(__xludf.DUMMYFUNCTION("""COMPUTED_VALUE"""),"CLASES")</f>
        <v>CLASES</v>
      </c>
      <c r="D12" s="23" t="str">
        <f ca="1">IFERROR(__xludf.DUMMYFUNCTION("""COMPUTED_VALUE"""),"ASCENDENTE")</f>
        <v>ASCENDENTE</v>
      </c>
      <c r="E12" s="23" t="str">
        <f ca="1">IFERROR(__xludf.DUMMYFUNCTION("""COMPUTED_VALUE"""),"BITACORA OPERATIVA")</f>
        <v>BITACORA OPERATIVA</v>
      </c>
      <c r="F12" s="23">
        <f ca="1">IFERROR(__xludf.DUMMYFUNCTION("""COMPUTED_VALUE"""),25)</f>
        <v>25</v>
      </c>
      <c r="G12" s="23">
        <f ca="1">IFERROR(__xludf.DUMMYFUNCTION("""COMPUTED_VALUE"""),0)</f>
        <v>0</v>
      </c>
      <c r="H12" s="23">
        <f ca="1">IFERROR(__xludf.DUMMYFUNCTION("""COMPUTED_VALUE"""),0)</f>
        <v>0</v>
      </c>
      <c r="I12" s="23">
        <f ca="1">IFERROR(__xludf.DUMMYFUNCTION("""COMPUTED_VALUE"""),0)</f>
        <v>0</v>
      </c>
      <c r="J12" s="23">
        <f ca="1">IFERROR(__xludf.DUMMYFUNCTION("""COMPUTED_VALUE"""),72)</f>
        <v>72</v>
      </c>
      <c r="K12" s="23">
        <f ca="1">IFERROR(__xludf.DUMMYFUNCTION("""COMPUTED_VALUE"""),72)</f>
        <v>72</v>
      </c>
      <c r="L12" s="23">
        <f ca="1">IFERROR(__xludf.DUMMYFUNCTION("""COMPUTED_VALUE"""),72)</f>
        <v>72</v>
      </c>
      <c r="M12" s="23">
        <f ca="1">IFERROR(__xludf.DUMMYFUNCTION("""COMPUTED_VALUE"""),0)</f>
        <v>0</v>
      </c>
      <c r="N12" s="23">
        <f ca="1">IFERROR(__xludf.DUMMYFUNCTION("""COMPUTED_VALUE"""),0)</f>
        <v>0</v>
      </c>
      <c r="O12" s="23">
        <f ca="1">IFERROR(__xludf.DUMMYFUNCTION("""COMPUTED_VALUE"""),0)</f>
        <v>0</v>
      </c>
      <c r="P12" s="23">
        <f ca="1">IFERROR(__xludf.DUMMYFUNCTION("""COMPUTED_VALUE"""),0)</f>
        <v>0</v>
      </c>
      <c r="Q12" s="23">
        <f ca="1">IFERROR(__xludf.DUMMYFUNCTION("""COMPUTED_VALUE"""),0)</f>
        <v>0</v>
      </c>
      <c r="R12" s="23">
        <f ca="1">IFERROR(__xludf.DUMMYFUNCTION("""COMPUTED_VALUE"""),0)</f>
        <v>0</v>
      </c>
      <c r="S12" s="23">
        <f ca="1">IFERROR(__xludf.DUMMYFUNCTION("""COMPUTED_VALUE"""),216)</f>
        <v>216</v>
      </c>
    </row>
    <row r="13" spans="1:19">
      <c r="A13" s="23" t="str">
        <f ca="1">IFERROR(__xludf.DUMMYFUNCTION("""COMPUTED_VALUE"""),"EVENTOS REALIZADOS")</f>
        <v>EVENTOS REALIZADOS</v>
      </c>
      <c r="B13" s="23">
        <f ca="1">IFERROR(__xludf.DUMMYFUNCTION("""COMPUTED_VALUE"""),48)</f>
        <v>48</v>
      </c>
      <c r="C13" s="23" t="str">
        <f ca="1">IFERROR(__xludf.DUMMYFUNCTION("""COMPUTED_VALUE"""),"CLASES")</f>
        <v>CLASES</v>
      </c>
      <c r="D13" s="23" t="str">
        <f ca="1">IFERROR(__xludf.DUMMYFUNCTION("""COMPUTED_VALUE"""),"ASCENDENTE")</f>
        <v>ASCENDENTE</v>
      </c>
      <c r="E13" s="23" t="str">
        <f ca="1">IFERROR(__xludf.DUMMYFUNCTION("""COMPUTED_VALUE"""),"BITACORA OPERATIVA")</f>
        <v>BITACORA OPERATIVA</v>
      </c>
      <c r="F13" s="23">
        <f ca="1">IFERROR(__xludf.DUMMYFUNCTION("""COMPUTED_VALUE"""),6377.08333333333)</f>
        <v>6377.0833333333303</v>
      </c>
      <c r="G13" s="23">
        <f ca="1">IFERROR(__xludf.DUMMYFUNCTION("""COMPUTED_VALUE"""),0)</f>
        <v>0</v>
      </c>
      <c r="H13" s="23">
        <f ca="1">IFERROR(__xludf.DUMMYFUNCTION("""COMPUTED_VALUE"""),0)</f>
        <v>0</v>
      </c>
      <c r="I13" s="23">
        <f ca="1">IFERROR(__xludf.DUMMYFUNCTION("""COMPUTED_VALUE"""),0)</f>
        <v>0</v>
      </c>
      <c r="J13" s="23">
        <f ca="1">IFERROR(__xludf.DUMMYFUNCTION("""COMPUTED_VALUE"""),1733)</f>
        <v>1733</v>
      </c>
      <c r="K13" s="23">
        <f ca="1">IFERROR(__xludf.DUMMYFUNCTION("""COMPUTED_VALUE"""),1323)</f>
        <v>1323</v>
      </c>
      <c r="L13" s="23">
        <f ca="1">IFERROR(__xludf.DUMMYFUNCTION("""COMPUTED_VALUE"""),5)</f>
        <v>5</v>
      </c>
      <c r="M13" s="23">
        <f ca="1">IFERROR(__xludf.DUMMYFUNCTION("""COMPUTED_VALUE"""),0)</f>
        <v>0</v>
      </c>
      <c r="N13" s="23">
        <f ca="1">IFERROR(__xludf.DUMMYFUNCTION("""COMPUTED_VALUE"""),0)</f>
        <v>0</v>
      </c>
      <c r="O13" s="23">
        <f ca="1">IFERROR(__xludf.DUMMYFUNCTION("""COMPUTED_VALUE"""),0)</f>
        <v>0</v>
      </c>
      <c r="P13" s="23">
        <f ca="1">IFERROR(__xludf.DUMMYFUNCTION("""COMPUTED_VALUE"""),0)</f>
        <v>0</v>
      </c>
      <c r="Q13" s="23">
        <f ca="1">IFERROR(__xludf.DUMMYFUNCTION("""COMPUTED_VALUE"""),0)</f>
        <v>0</v>
      </c>
      <c r="R13" s="23">
        <f ca="1">IFERROR(__xludf.DUMMYFUNCTION("""COMPUTED_VALUE"""),0)</f>
        <v>0</v>
      </c>
      <c r="S13" s="23">
        <f ca="1">IFERROR(__xludf.DUMMYFUNCTION("""COMPUTED_VALUE"""),3061)</f>
        <v>3061</v>
      </c>
    </row>
    <row r="14" spans="1:19">
      <c r="A14" s="23" t="str">
        <f ca="1">IFERROR(__xludf.DUMMYFUNCTION("""COMPUTED_VALUE"""),"TOTAL DE PERSONAS BENEFICIADAS")</f>
        <v>TOTAL DE PERSONAS BENEFICIADAS</v>
      </c>
      <c r="B14" s="23">
        <f ca="1">IFERROR(__xludf.DUMMYFUNCTION("""COMPUTED_VALUE"""),16732)</f>
        <v>16732</v>
      </c>
      <c r="C14" s="23" t="str">
        <f ca="1">IFERROR(__xludf.DUMMYFUNCTION("""COMPUTED_VALUE"""),"PERSONAS")</f>
        <v>PERSONAS</v>
      </c>
      <c r="D14" s="23" t="str">
        <f ca="1">IFERROR(__xludf.DUMMYFUNCTION("""COMPUTED_VALUE"""),"ASCENDENTE")</f>
        <v>ASCENDENTE</v>
      </c>
      <c r="E14" s="23" t="str">
        <f ca="1">IFERROR(__xludf.DUMMYFUNCTION("""COMPUTED_VALUE"""),"BITACORA OPERATIVA")</f>
        <v>BITACORA OPERATIVA</v>
      </c>
      <c r="F14" s="23">
        <f ca="1">IFERROR(__xludf.DUMMYFUNCTION("""COMPUTED_VALUE"""),0.0418360028687544)</f>
        <v>4.1836002868754399E-2</v>
      </c>
      <c r="G14" s="23">
        <f ca="1">IFERROR(__xludf.DUMMYFUNCTION("""COMPUTED_VALUE"""),0)</f>
        <v>0</v>
      </c>
      <c r="H14" s="23">
        <f ca="1">IFERROR(__xludf.DUMMYFUNCTION("""COMPUTED_VALUE"""),0)</f>
        <v>0</v>
      </c>
      <c r="I14" s="23">
        <f ca="1">IFERROR(__xludf.DUMMYFUNCTION("""COMPUTED_VALUE"""),0)</f>
        <v>0</v>
      </c>
      <c r="J14" s="23">
        <f ca="1">IFERROR(__xludf.DUMMYFUNCTION("""COMPUTED_VALUE"""),2)</f>
        <v>2</v>
      </c>
      <c r="K14" s="23">
        <f ca="1">IFERROR(__xludf.DUMMYFUNCTION("""COMPUTED_VALUE"""),3)</f>
        <v>3</v>
      </c>
      <c r="L14" s="23">
        <f ca="1">IFERROR(__xludf.DUMMYFUNCTION("""COMPUTED_VALUE"""),2)</f>
        <v>2</v>
      </c>
      <c r="M14" s="23">
        <f ca="1">IFERROR(__xludf.DUMMYFUNCTION("""COMPUTED_VALUE"""),0)</f>
        <v>0</v>
      </c>
      <c r="N14" s="23">
        <f ca="1">IFERROR(__xludf.DUMMYFUNCTION("""COMPUTED_VALUE"""),0)</f>
        <v>0</v>
      </c>
      <c r="O14" s="23">
        <f ca="1">IFERROR(__xludf.DUMMYFUNCTION("""COMPUTED_VALUE"""),0)</f>
        <v>0</v>
      </c>
      <c r="P14" s="23">
        <f ca="1">IFERROR(__xludf.DUMMYFUNCTION("""COMPUTED_VALUE"""),0)</f>
        <v>0</v>
      </c>
      <c r="Q14" s="23">
        <f ca="1">IFERROR(__xludf.DUMMYFUNCTION("""COMPUTED_VALUE"""),0)</f>
        <v>0</v>
      </c>
      <c r="R14" s="23">
        <f ca="1">IFERROR(__xludf.DUMMYFUNCTION("""COMPUTED_VALUE"""),0)</f>
        <v>0</v>
      </c>
      <c r="S14" s="23">
        <f ca="1">IFERROR(__xludf.DUMMYFUNCTION("""COMPUTED_VALUE"""),7)</f>
        <v>7</v>
      </c>
    </row>
    <row r="15" spans="1:19">
      <c r="A15" s="23" t="str">
        <f ca="1">IFERROR(__xludf.DUMMYFUNCTION("""COMPUTED_VALUE"""),"PROGRAMAS IMPLEMENTADOS")</f>
        <v>PROGRAMAS IMPLEMENTADOS</v>
      </c>
      <c r="B15" s="23">
        <f ca="1">IFERROR(__xludf.DUMMYFUNCTION("""COMPUTED_VALUE"""),28)</f>
        <v>28</v>
      </c>
      <c r="C15" s="23" t="str">
        <f ca="1">IFERROR(__xludf.DUMMYFUNCTION("""COMPUTED_VALUE"""),"PROGRAMAS")</f>
        <v>PROGRAMAS</v>
      </c>
      <c r="D15" s="23" t="str">
        <f ca="1">IFERROR(__xludf.DUMMYFUNCTION("""COMPUTED_VALUE"""),"ASCENDENTE")</f>
        <v>ASCENDENTE</v>
      </c>
      <c r="E15" s="23" t="str">
        <f ca="1">IFERROR(__xludf.DUMMYFUNCTION("""COMPUTED_VALUE"""),"BITACORA OPERATIVA")</f>
        <v>BITACORA OPERATIVA</v>
      </c>
      <c r="F15" s="23">
        <f ca="1">IFERROR(__xludf.DUMMYFUNCTION("""COMPUTED_VALUE"""),3035.71428571428)</f>
        <v>3035.7142857142799</v>
      </c>
      <c r="G15" s="23">
        <f ca="1">IFERROR(__xludf.DUMMYFUNCTION("""COMPUTED_VALUE"""),0)</f>
        <v>0</v>
      </c>
      <c r="H15" s="23">
        <f ca="1">IFERROR(__xludf.DUMMYFUNCTION("""COMPUTED_VALUE"""),0)</f>
        <v>0</v>
      </c>
      <c r="I15" s="23">
        <f ca="1">IFERROR(__xludf.DUMMYFUNCTION("""COMPUTED_VALUE"""),0)</f>
        <v>0</v>
      </c>
      <c r="J15" s="23">
        <f ca="1">IFERROR(__xludf.DUMMYFUNCTION("""COMPUTED_VALUE"""),300)</f>
        <v>300</v>
      </c>
      <c r="K15" s="23">
        <f ca="1">IFERROR(__xludf.DUMMYFUNCTION("""COMPUTED_VALUE"""),500)</f>
        <v>500</v>
      </c>
      <c r="L15" s="23">
        <f ca="1">IFERROR(__xludf.DUMMYFUNCTION("""COMPUTED_VALUE"""),50)</f>
        <v>50</v>
      </c>
      <c r="M15" s="23">
        <f ca="1">IFERROR(__xludf.DUMMYFUNCTION("""COMPUTED_VALUE"""),0)</f>
        <v>0</v>
      </c>
      <c r="N15" s="23">
        <f ca="1">IFERROR(__xludf.DUMMYFUNCTION("""COMPUTED_VALUE"""),0)</f>
        <v>0</v>
      </c>
      <c r="O15" s="23">
        <f ca="1">IFERROR(__xludf.DUMMYFUNCTION("""COMPUTED_VALUE"""),0)</f>
        <v>0</v>
      </c>
      <c r="P15" s="23">
        <f ca="1">IFERROR(__xludf.DUMMYFUNCTION("""COMPUTED_VALUE"""),0)</f>
        <v>0</v>
      </c>
      <c r="Q15" s="23">
        <f ca="1">IFERROR(__xludf.DUMMYFUNCTION("""COMPUTED_VALUE"""),0)</f>
        <v>0</v>
      </c>
      <c r="R15" s="23">
        <f ca="1">IFERROR(__xludf.DUMMYFUNCTION("""COMPUTED_VALUE"""),0)</f>
        <v>0</v>
      </c>
      <c r="S15" s="23">
        <f ca="1">IFERROR(__xludf.DUMMYFUNCTION("""COMPUTED_VALUE"""),850)</f>
        <v>850</v>
      </c>
    </row>
    <row r="16" spans="1:19">
      <c r="A16" s="23" t="str">
        <f ca="1">IFERROR(__xludf.DUMMYFUNCTION("""COMPUTED_VALUE"""),"PERSONAS BENEFICIADAS")</f>
        <v>PERSONAS BENEFICIADAS</v>
      </c>
      <c r="B16" s="23">
        <f ca="1">IFERROR(__xludf.DUMMYFUNCTION("""COMPUTED_VALUE"""),3400)</f>
        <v>3400</v>
      </c>
      <c r="C16" s="23" t="str">
        <f ca="1">IFERROR(__xludf.DUMMYFUNCTION("""COMPUTED_VALUE"""),"PERSONAS")</f>
        <v>PERSONAS</v>
      </c>
      <c r="D16" s="23" t="str">
        <f ca="1">IFERROR(__xludf.DUMMYFUNCTION("""COMPUTED_VALUE"""),"ASCENDENTE")</f>
        <v>ASCENDENTE</v>
      </c>
      <c r="E16" s="23" t="str">
        <f ca="1">IFERROR(__xludf.DUMMYFUNCTION("""COMPUTED_VALUE"""),"BITACORA OPERATIVA")</f>
        <v>BITACORA OPERATIVA</v>
      </c>
      <c r="F16" s="23">
        <f ca="1">IFERROR(__xludf.DUMMYFUNCTION("""COMPUTED_VALUE"""),0.235294117647058)</f>
        <v>0.23529411764705799</v>
      </c>
      <c r="G16" s="23">
        <f ca="1">IFERROR(__xludf.DUMMYFUNCTION("""COMPUTED_VALUE"""),0)</f>
        <v>0</v>
      </c>
      <c r="H16" s="23">
        <f ca="1">IFERROR(__xludf.DUMMYFUNCTION("""COMPUTED_VALUE"""),0)</f>
        <v>0</v>
      </c>
      <c r="I16" s="23">
        <f ca="1">IFERROR(__xludf.DUMMYFUNCTION("""COMPUTED_VALUE"""),0)</f>
        <v>0</v>
      </c>
      <c r="J16" s="23">
        <f ca="1">IFERROR(__xludf.DUMMYFUNCTION("""COMPUTED_VALUE"""),2)</f>
        <v>2</v>
      </c>
      <c r="K16" s="23">
        <f ca="1">IFERROR(__xludf.DUMMYFUNCTION("""COMPUTED_VALUE"""),3)</f>
        <v>3</v>
      </c>
      <c r="L16" s="23">
        <f ca="1">IFERROR(__xludf.DUMMYFUNCTION("""COMPUTED_VALUE"""),3)</f>
        <v>3</v>
      </c>
      <c r="M16" s="23">
        <f ca="1">IFERROR(__xludf.DUMMYFUNCTION("""COMPUTED_VALUE"""),0)</f>
        <v>0</v>
      </c>
      <c r="N16" s="23">
        <f ca="1">IFERROR(__xludf.DUMMYFUNCTION("""COMPUTED_VALUE"""),0)</f>
        <v>0</v>
      </c>
      <c r="O16" s="23">
        <f ca="1">IFERROR(__xludf.DUMMYFUNCTION("""COMPUTED_VALUE"""),0)</f>
        <v>0</v>
      </c>
      <c r="P16" s="23">
        <f ca="1">IFERROR(__xludf.DUMMYFUNCTION("""COMPUTED_VALUE"""),0)</f>
        <v>0</v>
      </c>
      <c r="Q16" s="23">
        <f ca="1">IFERROR(__xludf.DUMMYFUNCTION("""COMPUTED_VALUE"""),0)</f>
        <v>0</v>
      </c>
      <c r="R16" s="23">
        <f ca="1">IFERROR(__xludf.DUMMYFUNCTION("""COMPUTED_VALUE"""),0)</f>
        <v>0</v>
      </c>
      <c r="S16" s="23">
        <f ca="1">IFERROR(__xludf.DUMMYFUNCTION("""COMPUTED_VALUE"""),8)</f>
        <v>8</v>
      </c>
    </row>
    <row r="17" spans="1:19">
      <c r="A17" s="23" t="str">
        <f ca="1">IFERROR(__xludf.DUMMYFUNCTION("""COMPUTED_VALUE"""),"PROGRAMAS IMPLEMENTADOS")</f>
        <v>PROGRAMAS IMPLEMENTADOS</v>
      </c>
      <c r="B17" s="23">
        <f ca="1">IFERROR(__xludf.DUMMYFUNCTION("""COMPUTED_VALUE"""),32)</f>
        <v>32</v>
      </c>
      <c r="C17" s="23" t="str">
        <f ca="1">IFERROR(__xludf.DUMMYFUNCTION("""COMPUTED_VALUE"""),"PROGRAMAS")</f>
        <v>PROGRAMAS</v>
      </c>
      <c r="D17" s="23" t="str">
        <f ca="1">IFERROR(__xludf.DUMMYFUNCTION("""COMPUTED_VALUE"""),"ASCENDENTE")</f>
        <v>ASCENDENTE</v>
      </c>
      <c r="E17" s="23" t="str">
        <f ca="1">IFERROR(__xludf.DUMMYFUNCTION("""COMPUTED_VALUE"""),"BITACORA OPERATIVA")</f>
        <v>BITACORA OPERATIVA</v>
      </c>
      <c r="F17" s="23">
        <f ca="1">IFERROR(__xludf.DUMMYFUNCTION("""COMPUTED_VALUE"""),37.5)</f>
        <v>37.5</v>
      </c>
      <c r="G17" s="23">
        <f ca="1">IFERROR(__xludf.DUMMYFUNCTION("""COMPUTED_VALUE"""),0)</f>
        <v>0</v>
      </c>
      <c r="H17" s="23">
        <f ca="1">IFERROR(__xludf.DUMMYFUNCTION("""COMPUTED_VALUE"""),0)</f>
        <v>0</v>
      </c>
      <c r="I17" s="23">
        <f ca="1">IFERROR(__xludf.DUMMYFUNCTION("""COMPUTED_VALUE"""),0)</f>
        <v>0</v>
      </c>
      <c r="J17" s="23">
        <f ca="1">IFERROR(__xludf.DUMMYFUNCTION("""COMPUTED_VALUE"""),5)</f>
        <v>5</v>
      </c>
      <c r="K17" s="23">
        <f ca="1">IFERROR(__xludf.DUMMYFUNCTION("""COMPUTED_VALUE"""),3)</f>
        <v>3</v>
      </c>
      <c r="L17" s="23">
        <f ca="1">IFERROR(__xludf.DUMMYFUNCTION("""COMPUTED_VALUE"""),4)</f>
        <v>4</v>
      </c>
      <c r="M17" s="23">
        <f ca="1">IFERROR(__xludf.DUMMYFUNCTION("""COMPUTED_VALUE"""),0)</f>
        <v>0</v>
      </c>
      <c r="N17" s="23">
        <f ca="1">IFERROR(__xludf.DUMMYFUNCTION("""COMPUTED_VALUE"""),0)</f>
        <v>0</v>
      </c>
      <c r="O17" s="23">
        <f ca="1">IFERROR(__xludf.DUMMYFUNCTION("""COMPUTED_VALUE"""),0)</f>
        <v>0</v>
      </c>
      <c r="P17" s="23">
        <f ca="1">IFERROR(__xludf.DUMMYFUNCTION("""COMPUTED_VALUE"""),0)</f>
        <v>0</v>
      </c>
      <c r="Q17" s="23">
        <f ca="1">IFERROR(__xludf.DUMMYFUNCTION("""COMPUTED_VALUE"""),0)</f>
        <v>0</v>
      </c>
      <c r="R17" s="23">
        <f ca="1">IFERROR(__xludf.DUMMYFUNCTION("""COMPUTED_VALUE"""),0)</f>
        <v>0</v>
      </c>
      <c r="S17" s="23">
        <f ca="1">IFERROR(__xludf.DUMMYFUNCTION("""COMPUTED_VALUE"""),12)</f>
        <v>12</v>
      </c>
    </row>
    <row r="18" spans="1:19">
      <c r="A18" s="23" t="str">
        <f ca="1">IFERROR(__xludf.DUMMYFUNCTION("""COMPUTED_VALUE"""),"ESCUELAS BENEFICIADAS")</f>
        <v>ESCUELAS BENEFICIADAS</v>
      </c>
      <c r="B18" s="23">
        <f ca="1">IFERROR(__xludf.DUMMYFUNCTION("""COMPUTED_VALUE"""),92)</f>
        <v>92</v>
      </c>
      <c r="C18" s="23" t="str">
        <f ca="1">IFERROR(__xludf.DUMMYFUNCTION("""COMPUTED_VALUE"""),"ESCUELAS")</f>
        <v>ESCUELAS</v>
      </c>
      <c r="D18" s="23" t="str">
        <f ca="1">IFERROR(__xludf.DUMMYFUNCTION("""COMPUTED_VALUE"""),"ASCENDENTE")</f>
        <v>ASCENDENTE</v>
      </c>
      <c r="E18" s="23" t="str">
        <f ca="1">IFERROR(__xludf.DUMMYFUNCTION("""COMPUTED_VALUE"""),"BITACORA OPERATIVA")</f>
        <v>BITACORA OPERATIVA</v>
      </c>
      <c r="F18" s="23">
        <f ca="1">IFERROR(__xludf.DUMMYFUNCTION("""COMPUTED_VALUE"""),786.95652173913)</f>
        <v>786.95652173913004</v>
      </c>
      <c r="G18" s="23">
        <f ca="1">IFERROR(__xludf.DUMMYFUNCTION("""COMPUTED_VALUE"""),0)</f>
        <v>0</v>
      </c>
      <c r="H18" s="23">
        <f ca="1">IFERROR(__xludf.DUMMYFUNCTION("""COMPUTED_VALUE"""),0)</f>
        <v>0</v>
      </c>
      <c r="I18" s="23">
        <f ca="1">IFERROR(__xludf.DUMMYFUNCTION("""COMPUTED_VALUE"""),0)</f>
        <v>0</v>
      </c>
      <c r="J18" s="23">
        <f ca="1">IFERROR(__xludf.DUMMYFUNCTION("""COMPUTED_VALUE"""),171)</f>
        <v>171</v>
      </c>
      <c r="K18" s="23">
        <f ca="1">IFERROR(__xludf.DUMMYFUNCTION("""COMPUTED_VALUE"""),167)</f>
        <v>167</v>
      </c>
      <c r="L18" s="23">
        <f ca="1">IFERROR(__xludf.DUMMYFUNCTION("""COMPUTED_VALUE"""),386)</f>
        <v>386</v>
      </c>
      <c r="M18" s="23">
        <f ca="1">IFERROR(__xludf.DUMMYFUNCTION("""COMPUTED_VALUE"""),0)</f>
        <v>0</v>
      </c>
      <c r="N18" s="23">
        <f ca="1">IFERROR(__xludf.DUMMYFUNCTION("""COMPUTED_VALUE"""),0)</f>
        <v>0</v>
      </c>
      <c r="O18" s="23">
        <f ca="1">IFERROR(__xludf.DUMMYFUNCTION("""COMPUTED_VALUE"""),0)</f>
        <v>0</v>
      </c>
      <c r="P18" s="23">
        <f ca="1">IFERROR(__xludf.DUMMYFUNCTION("""COMPUTED_VALUE"""),0)</f>
        <v>0</v>
      </c>
      <c r="Q18" s="23">
        <f ca="1">IFERROR(__xludf.DUMMYFUNCTION("""COMPUTED_VALUE"""),0)</f>
        <v>0</v>
      </c>
      <c r="R18" s="23">
        <f ca="1">IFERROR(__xludf.DUMMYFUNCTION("""COMPUTED_VALUE"""),0)</f>
        <v>0</v>
      </c>
      <c r="S18" s="23">
        <f ca="1">IFERROR(__xludf.DUMMYFUNCTION("""COMPUTED_VALUE"""),724)</f>
        <v>724</v>
      </c>
    </row>
    <row r="19" spans="1:19">
      <c r="A19" s="23" t="str">
        <f ca="1">IFERROR(__xludf.DUMMYFUNCTION("""COMPUTED_VALUE"""),"PERSONAS BENEFICIADAS")</f>
        <v>PERSONAS BENEFICIADAS</v>
      </c>
      <c r="B19" s="23">
        <f ca="1">IFERROR(__xludf.DUMMYFUNCTION("""COMPUTED_VALUE"""),48)</f>
        <v>48</v>
      </c>
      <c r="C19" s="23" t="str">
        <f ca="1">IFERROR(__xludf.DUMMYFUNCTION("""COMPUTED_VALUE"""),"PERSONAS")</f>
        <v>PERSONAS</v>
      </c>
      <c r="D19" s="23" t="str">
        <f ca="1">IFERROR(__xludf.DUMMYFUNCTION("""COMPUTED_VALUE"""),"ASCENDENTE")</f>
        <v>ASCENDENTE</v>
      </c>
      <c r="E19" s="23" t="str">
        <f ca="1">IFERROR(__xludf.DUMMYFUNCTION("""COMPUTED_VALUE"""),"BITACORA OPERATIVA")</f>
        <v>BITACORA OPERATIVA</v>
      </c>
      <c r="F19" s="23">
        <f ca="1">IFERROR(__xludf.DUMMYFUNCTION("""COMPUTED_VALUE"""),16.6666666666666)</f>
        <v>16.6666666666666</v>
      </c>
      <c r="G19" s="23">
        <f ca="1">IFERROR(__xludf.DUMMYFUNCTION("""COMPUTED_VALUE"""),0)</f>
        <v>0</v>
      </c>
      <c r="H19" s="23">
        <f ca="1">IFERROR(__xludf.DUMMYFUNCTION("""COMPUTED_VALUE"""),0)</f>
        <v>0</v>
      </c>
      <c r="I19" s="23">
        <f ca="1">IFERROR(__xludf.DUMMYFUNCTION("""COMPUTED_VALUE"""),0)</f>
        <v>0</v>
      </c>
      <c r="J19" s="23">
        <f ca="1">IFERROR(__xludf.DUMMYFUNCTION("""COMPUTED_VALUE"""),2)</f>
        <v>2</v>
      </c>
      <c r="K19" s="23">
        <f ca="1">IFERROR(__xludf.DUMMYFUNCTION("""COMPUTED_VALUE"""),4)</f>
        <v>4</v>
      </c>
      <c r="L19" s="23">
        <f ca="1">IFERROR(__xludf.DUMMYFUNCTION("""COMPUTED_VALUE"""),2)</f>
        <v>2</v>
      </c>
      <c r="M19" s="23">
        <f ca="1">IFERROR(__xludf.DUMMYFUNCTION("""COMPUTED_VALUE"""),0)</f>
        <v>0</v>
      </c>
      <c r="N19" s="23">
        <f ca="1">IFERROR(__xludf.DUMMYFUNCTION("""COMPUTED_VALUE"""),0)</f>
        <v>0</v>
      </c>
      <c r="O19" s="23">
        <f ca="1">IFERROR(__xludf.DUMMYFUNCTION("""COMPUTED_VALUE"""),0)</f>
        <v>0</v>
      </c>
      <c r="P19" s="23">
        <f ca="1">IFERROR(__xludf.DUMMYFUNCTION("""COMPUTED_VALUE"""),0)</f>
        <v>0</v>
      </c>
      <c r="Q19" s="23">
        <f ca="1">IFERROR(__xludf.DUMMYFUNCTION("""COMPUTED_VALUE"""),0)</f>
        <v>0</v>
      </c>
      <c r="R19" s="23">
        <f ca="1">IFERROR(__xludf.DUMMYFUNCTION("""COMPUTED_VALUE"""),0)</f>
        <v>0</v>
      </c>
      <c r="S19" s="23">
        <f ca="1">IFERROR(__xludf.DUMMYFUNCTION("""COMPUTED_VALUE"""),8)</f>
        <v>8</v>
      </c>
    </row>
    <row r="20" spans="1:19">
      <c r="A20" s="23" t="str">
        <f ca="1">IFERROR(__xludf.DUMMYFUNCTION("""COMPUTED_VALUE"""),"PROGRAMAS IMPLEMENTADOS")</f>
        <v>PROGRAMAS IMPLEMENTADOS</v>
      </c>
      <c r="B20" s="23">
        <f ca="1">IFERROR(__xludf.DUMMYFUNCTION("""COMPUTED_VALUE"""),2908)</f>
        <v>2908</v>
      </c>
      <c r="C20" s="23" t="str">
        <f ca="1">IFERROR(__xludf.DUMMYFUNCTION("""COMPUTED_VALUE"""),"PROGRAMAS")</f>
        <v>PROGRAMAS</v>
      </c>
      <c r="D20" s="23" t="str">
        <f ca="1">IFERROR(__xludf.DUMMYFUNCTION("""COMPUTED_VALUE"""),"ASCENDENTE")</f>
        <v>ASCENDENTE</v>
      </c>
      <c r="E20" s="23" t="str">
        <f ca="1">IFERROR(__xludf.DUMMYFUNCTION("""COMPUTED_VALUE"""),"BITACORA OPERATIVA")</f>
        <v>BITACORA OPERATIVA</v>
      </c>
      <c r="F20" s="23">
        <f ca="1">IFERROR(__xludf.DUMMYFUNCTION("""COMPUTED_VALUE"""),24.8968363136176)</f>
        <v>24.896836313617602</v>
      </c>
      <c r="G20" s="23">
        <f ca="1">IFERROR(__xludf.DUMMYFUNCTION("""COMPUTED_VALUE"""),0)</f>
        <v>0</v>
      </c>
      <c r="H20" s="23">
        <f ca="1">IFERROR(__xludf.DUMMYFUNCTION("""COMPUTED_VALUE"""),0)</f>
        <v>0</v>
      </c>
      <c r="I20" s="23">
        <f ca="1">IFERROR(__xludf.DUMMYFUNCTION("""COMPUTED_VALUE"""),0)</f>
        <v>0</v>
      </c>
      <c r="J20" s="23">
        <f ca="1">IFERROR(__xludf.DUMMYFUNCTION("""COMPUTED_VALUE"""),171)</f>
        <v>171</v>
      </c>
      <c r="K20" s="23">
        <f ca="1">IFERROR(__xludf.DUMMYFUNCTION("""COMPUTED_VALUE"""),167)</f>
        <v>167</v>
      </c>
      <c r="L20" s="23">
        <f ca="1">IFERROR(__xludf.DUMMYFUNCTION("""COMPUTED_VALUE"""),386)</f>
        <v>386</v>
      </c>
      <c r="M20" s="23">
        <f ca="1">IFERROR(__xludf.DUMMYFUNCTION("""COMPUTED_VALUE"""),0)</f>
        <v>0</v>
      </c>
      <c r="N20" s="23">
        <f ca="1">IFERROR(__xludf.DUMMYFUNCTION("""COMPUTED_VALUE"""),0)</f>
        <v>0</v>
      </c>
      <c r="O20" s="23">
        <f ca="1">IFERROR(__xludf.DUMMYFUNCTION("""COMPUTED_VALUE"""),0)</f>
        <v>0</v>
      </c>
      <c r="P20" s="23">
        <f ca="1">IFERROR(__xludf.DUMMYFUNCTION("""COMPUTED_VALUE"""),0)</f>
        <v>0</v>
      </c>
      <c r="Q20" s="23">
        <f ca="1">IFERROR(__xludf.DUMMYFUNCTION("""COMPUTED_VALUE"""),0)</f>
        <v>0</v>
      </c>
      <c r="R20" s="23">
        <f ca="1">IFERROR(__xludf.DUMMYFUNCTION("""COMPUTED_VALUE"""),0)</f>
        <v>0</v>
      </c>
      <c r="S20" s="23">
        <f ca="1">IFERROR(__xludf.DUMMYFUNCTION("""COMPUTED_VALUE"""),724)</f>
        <v>724</v>
      </c>
    </row>
    <row r="21" spans="1:19">
      <c r="A21" s="23" t="str">
        <f ca="1">IFERROR(__xludf.DUMMYFUNCTION("""COMPUTED_VALUE"""),"PROGRAMAS IMPLEMENTADOS")</f>
        <v>PROGRAMAS IMPLEMENTADOS</v>
      </c>
      <c r="B21" s="23">
        <f ca="1">IFERROR(__xludf.DUMMYFUNCTION("""COMPUTED_VALUE"""),1)</f>
        <v>1</v>
      </c>
      <c r="C21" s="23" t="str">
        <f ca="1">IFERROR(__xludf.DUMMYFUNCTION("""COMPUTED_VALUE"""),"PROGRAMAS")</f>
        <v>PROGRAMAS</v>
      </c>
      <c r="D21" s="23" t="str">
        <f ca="1">IFERROR(__xludf.DUMMYFUNCTION("""COMPUTED_VALUE"""),"ASCENDENTE")</f>
        <v>ASCENDENTE</v>
      </c>
      <c r="E21" s="23" t="str">
        <f ca="1">IFERROR(__xludf.DUMMYFUNCTION("""COMPUTED_VALUE"""),"BITACORA OPERATIVA")</f>
        <v>BITACORA OPERATIVA</v>
      </c>
      <c r="F21" s="23">
        <f ca="1">IFERROR(__xludf.DUMMYFUNCTION("""COMPUTED_VALUE"""),800)</f>
        <v>800</v>
      </c>
      <c r="G21" s="23">
        <f ca="1">IFERROR(__xludf.DUMMYFUNCTION("""COMPUTED_VALUE"""),0)</f>
        <v>0</v>
      </c>
      <c r="H21" s="23">
        <f ca="1">IFERROR(__xludf.DUMMYFUNCTION("""COMPUTED_VALUE"""),0)</f>
        <v>0</v>
      </c>
      <c r="I21" s="23">
        <f ca="1">IFERROR(__xludf.DUMMYFUNCTION("""COMPUTED_VALUE"""),0)</f>
        <v>0</v>
      </c>
      <c r="J21" s="23">
        <f ca="1">IFERROR(__xludf.DUMMYFUNCTION("""COMPUTED_VALUE"""),2)</f>
        <v>2</v>
      </c>
      <c r="K21" s="23">
        <f ca="1">IFERROR(__xludf.DUMMYFUNCTION("""COMPUTED_VALUE"""),4)</f>
        <v>4</v>
      </c>
      <c r="L21" s="23">
        <f ca="1">IFERROR(__xludf.DUMMYFUNCTION("""COMPUTED_VALUE"""),2)</f>
        <v>2</v>
      </c>
      <c r="M21" s="23">
        <f ca="1">IFERROR(__xludf.DUMMYFUNCTION("""COMPUTED_VALUE"""),0)</f>
        <v>0</v>
      </c>
      <c r="N21" s="23">
        <f ca="1">IFERROR(__xludf.DUMMYFUNCTION("""COMPUTED_VALUE"""),0)</f>
        <v>0</v>
      </c>
      <c r="O21" s="23">
        <f ca="1">IFERROR(__xludf.DUMMYFUNCTION("""COMPUTED_VALUE"""),0)</f>
        <v>0</v>
      </c>
      <c r="P21" s="23">
        <f ca="1">IFERROR(__xludf.DUMMYFUNCTION("""COMPUTED_VALUE"""),0)</f>
        <v>0</v>
      </c>
      <c r="Q21" s="23">
        <f ca="1">IFERROR(__xludf.DUMMYFUNCTION("""COMPUTED_VALUE"""),0)</f>
        <v>0</v>
      </c>
      <c r="R21" s="23">
        <f ca="1">IFERROR(__xludf.DUMMYFUNCTION("""COMPUTED_VALUE"""),0)</f>
        <v>0</v>
      </c>
      <c r="S21" s="23">
        <f ca="1">IFERROR(__xludf.DUMMYFUNCTION("""COMPUTED_VALUE"""),8)</f>
        <v>8</v>
      </c>
    </row>
    <row r="22" spans="1:19">
      <c r="A22" s="23" t="str">
        <f ca="1">IFERROR(__xludf.DUMMYFUNCTION("""COMPUTED_VALUE"""),"PERSONAS BENEFICIADAS")</f>
        <v>PERSONAS BENEFICIADAS</v>
      </c>
      <c r="B22" s="23">
        <f ca="1">IFERROR(__xludf.DUMMYFUNCTION("""COMPUTED_VALUE"""),1)</f>
        <v>1</v>
      </c>
      <c r="C22" s="23" t="str">
        <f ca="1">IFERROR(__xludf.DUMMYFUNCTION("""COMPUTED_VALUE"""),"PERSONAS")</f>
        <v>PERSONAS</v>
      </c>
      <c r="D22" s="23" t="str">
        <f ca="1">IFERROR(__xludf.DUMMYFUNCTION("""COMPUTED_VALUE"""),"ASCENDENTE")</f>
        <v>ASCENDENTE</v>
      </c>
      <c r="E22" s="23" t="str">
        <f ca="1">IFERROR(__xludf.DUMMYFUNCTION("""COMPUTED_VALUE"""),"BITACORA OPERATIVA")</f>
        <v>BITACORA OPERATIVA</v>
      </c>
      <c r="F22" s="23">
        <f ca="1">IFERROR(__xludf.DUMMYFUNCTION("""COMPUTED_VALUE"""),45000)</f>
        <v>45000</v>
      </c>
      <c r="G22" s="23">
        <f ca="1">IFERROR(__xludf.DUMMYFUNCTION("""COMPUTED_VALUE"""),0)</f>
        <v>0</v>
      </c>
      <c r="H22" s="23">
        <f ca="1">IFERROR(__xludf.DUMMYFUNCTION("""COMPUTED_VALUE"""),0)</f>
        <v>0</v>
      </c>
      <c r="I22" s="23">
        <f ca="1">IFERROR(__xludf.DUMMYFUNCTION("""COMPUTED_VALUE"""),0)</f>
        <v>0</v>
      </c>
      <c r="J22" s="23">
        <f ca="1">IFERROR(__xludf.DUMMYFUNCTION("""COMPUTED_VALUE"""),100)</f>
        <v>100</v>
      </c>
      <c r="K22" s="23">
        <f ca="1">IFERROR(__xludf.DUMMYFUNCTION("""COMPUTED_VALUE"""),300)</f>
        <v>300</v>
      </c>
      <c r="L22" s="23">
        <f ca="1">IFERROR(__xludf.DUMMYFUNCTION("""COMPUTED_VALUE"""),50)</f>
        <v>50</v>
      </c>
      <c r="M22" s="23">
        <f ca="1">IFERROR(__xludf.DUMMYFUNCTION("""COMPUTED_VALUE"""),0)</f>
        <v>0</v>
      </c>
      <c r="N22" s="23">
        <f ca="1">IFERROR(__xludf.DUMMYFUNCTION("""COMPUTED_VALUE"""),0)</f>
        <v>0</v>
      </c>
      <c r="O22" s="23">
        <f ca="1">IFERROR(__xludf.DUMMYFUNCTION("""COMPUTED_VALUE"""),0)</f>
        <v>0</v>
      </c>
      <c r="P22" s="23">
        <f ca="1">IFERROR(__xludf.DUMMYFUNCTION("""COMPUTED_VALUE"""),0)</f>
        <v>0</v>
      </c>
      <c r="Q22" s="23">
        <f ca="1">IFERROR(__xludf.DUMMYFUNCTION("""COMPUTED_VALUE"""),0)</f>
        <v>0</v>
      </c>
      <c r="R22" s="23">
        <f ca="1">IFERROR(__xludf.DUMMYFUNCTION("""COMPUTED_VALUE"""),0)</f>
        <v>0</v>
      </c>
      <c r="S22" s="23">
        <f ca="1">IFERROR(__xludf.DUMMYFUNCTION("""COMPUTED_VALUE"""),450)</f>
        <v>450</v>
      </c>
    </row>
    <row r="23" spans="1:19">
      <c r="A23" s="23" t="str">
        <f ca="1">IFERROR(__xludf.DUMMYFUNCTION("""COMPUTED_VALUE"""),"EVENTOS REALIZADOS ")</f>
        <v xml:space="preserve">EVENTOS REALIZADOS </v>
      </c>
      <c r="B23" s="23">
        <f ca="1">IFERROR(__xludf.DUMMYFUNCTION("""COMPUTED_VALUE"""),28)</f>
        <v>28</v>
      </c>
      <c r="C23" s="23" t="str">
        <f ca="1">IFERROR(__xludf.DUMMYFUNCTION("""COMPUTED_VALUE"""),"EVENTOS")</f>
        <v>EVENTOS</v>
      </c>
      <c r="D23" s="23" t="str">
        <f ca="1">IFERROR(__xludf.DUMMYFUNCTION("""COMPUTED_VALUE"""),"ASCENDENTE")</f>
        <v>ASCENDENTE</v>
      </c>
      <c r="E23" s="23" t="str">
        <f ca="1">IFERROR(__xludf.DUMMYFUNCTION("""COMPUTED_VALUE"""),"BITACORA OPERATIVA")</f>
        <v>BITACORA OPERATIVA</v>
      </c>
      <c r="F23" s="23">
        <f ca="1">IFERROR(__xludf.DUMMYFUNCTION("""COMPUTED_VALUE"""),25)</f>
        <v>25</v>
      </c>
      <c r="G23" s="23">
        <f ca="1">IFERROR(__xludf.DUMMYFUNCTION("""COMPUTED_VALUE"""),0)</f>
        <v>0</v>
      </c>
      <c r="H23" s="23">
        <f ca="1">IFERROR(__xludf.DUMMYFUNCTION("""COMPUTED_VALUE"""),0)</f>
        <v>0</v>
      </c>
      <c r="I23" s="23">
        <f ca="1">IFERROR(__xludf.DUMMYFUNCTION("""COMPUTED_VALUE"""),0)</f>
        <v>0</v>
      </c>
      <c r="J23" s="23">
        <f ca="1">IFERROR(__xludf.DUMMYFUNCTION("""COMPUTED_VALUE"""),2)</f>
        <v>2</v>
      </c>
      <c r="K23" s="23">
        <f ca="1">IFERROR(__xludf.DUMMYFUNCTION("""COMPUTED_VALUE"""),1)</f>
        <v>1</v>
      </c>
      <c r="L23" s="23">
        <f ca="1">IFERROR(__xludf.DUMMYFUNCTION("""COMPUTED_VALUE"""),4)</f>
        <v>4</v>
      </c>
      <c r="M23" s="23">
        <f ca="1">IFERROR(__xludf.DUMMYFUNCTION("""COMPUTED_VALUE"""),0)</f>
        <v>0</v>
      </c>
      <c r="N23" s="23">
        <f ca="1">IFERROR(__xludf.DUMMYFUNCTION("""COMPUTED_VALUE"""),0)</f>
        <v>0</v>
      </c>
      <c r="O23" s="23">
        <f ca="1">IFERROR(__xludf.DUMMYFUNCTION("""COMPUTED_VALUE"""),0)</f>
        <v>0</v>
      </c>
      <c r="P23" s="23">
        <f ca="1">IFERROR(__xludf.DUMMYFUNCTION("""COMPUTED_VALUE"""),0)</f>
        <v>0</v>
      </c>
      <c r="Q23" s="23">
        <f ca="1">IFERROR(__xludf.DUMMYFUNCTION("""COMPUTED_VALUE"""),0)</f>
        <v>0</v>
      </c>
      <c r="R23" s="23">
        <f ca="1">IFERROR(__xludf.DUMMYFUNCTION("""COMPUTED_VALUE"""),0)</f>
        <v>0</v>
      </c>
      <c r="S23" s="23">
        <f ca="1">IFERROR(__xludf.DUMMYFUNCTION("""COMPUTED_VALUE"""),7)</f>
        <v>7</v>
      </c>
    </row>
    <row r="24" spans="1:19">
      <c r="A24" s="23" t="str">
        <f ca="1">IFERROR(__xludf.DUMMYFUNCTION("""COMPUTED_VALUE"""),"PERSONAS BENEFICIADAS")</f>
        <v>PERSONAS BENEFICIADAS</v>
      </c>
      <c r="B24" s="23">
        <f ca="1">IFERROR(__xludf.DUMMYFUNCTION("""COMPUTED_VALUE"""),4040)</f>
        <v>4040</v>
      </c>
      <c r="C24" s="23" t="str">
        <f ca="1">IFERROR(__xludf.DUMMYFUNCTION("""COMPUTED_VALUE"""),"PERSONAS")</f>
        <v>PERSONAS</v>
      </c>
      <c r="D24" s="23" t="str">
        <f ca="1">IFERROR(__xludf.DUMMYFUNCTION("""COMPUTED_VALUE"""),"ASCENDENTE")</f>
        <v>ASCENDENTE</v>
      </c>
      <c r="E24" s="23" t="str">
        <f ca="1">IFERROR(__xludf.DUMMYFUNCTION("""COMPUTED_VALUE"""),"BITACORA OPERATIVA")</f>
        <v>BITACORA OPERATIVA</v>
      </c>
      <c r="F24" s="23">
        <f ca="1">IFERROR(__xludf.DUMMYFUNCTION("""COMPUTED_VALUE"""),25)</f>
        <v>25</v>
      </c>
      <c r="G24" s="23">
        <f ca="1">IFERROR(__xludf.DUMMYFUNCTION("""COMPUTED_VALUE"""),0)</f>
        <v>0</v>
      </c>
      <c r="H24" s="23">
        <f ca="1">IFERROR(__xludf.DUMMYFUNCTION("""COMPUTED_VALUE"""),0)</f>
        <v>0</v>
      </c>
      <c r="I24" s="23">
        <f ca="1">IFERROR(__xludf.DUMMYFUNCTION("""COMPUTED_VALUE"""),0)</f>
        <v>0</v>
      </c>
      <c r="J24" s="23">
        <f ca="1">IFERROR(__xludf.DUMMYFUNCTION("""COMPUTED_VALUE"""),300)</f>
        <v>300</v>
      </c>
      <c r="K24" s="23">
        <f ca="1">IFERROR(__xludf.DUMMYFUNCTION("""COMPUTED_VALUE"""),60)</f>
        <v>60</v>
      </c>
      <c r="L24" s="23">
        <f ca="1">IFERROR(__xludf.DUMMYFUNCTION("""COMPUTED_VALUE"""),650)</f>
        <v>650</v>
      </c>
      <c r="M24" s="23">
        <f ca="1">IFERROR(__xludf.DUMMYFUNCTION("""COMPUTED_VALUE"""),0)</f>
        <v>0</v>
      </c>
      <c r="N24" s="23">
        <f ca="1">IFERROR(__xludf.DUMMYFUNCTION("""COMPUTED_VALUE"""),0)</f>
        <v>0</v>
      </c>
      <c r="O24" s="23">
        <f ca="1">IFERROR(__xludf.DUMMYFUNCTION("""COMPUTED_VALUE"""),0)</f>
        <v>0</v>
      </c>
      <c r="P24" s="23">
        <f ca="1">IFERROR(__xludf.DUMMYFUNCTION("""COMPUTED_VALUE"""),0)</f>
        <v>0</v>
      </c>
      <c r="Q24" s="23">
        <f ca="1">IFERROR(__xludf.DUMMYFUNCTION("""COMPUTED_VALUE"""),0)</f>
        <v>0</v>
      </c>
      <c r="R24" s="23">
        <f ca="1">IFERROR(__xludf.DUMMYFUNCTION("""COMPUTED_VALUE"""),0)</f>
        <v>0</v>
      </c>
      <c r="S24" s="23">
        <f ca="1">IFERROR(__xludf.DUMMYFUNCTION("""COMPUTED_VALUE"""),1010)</f>
        <v>1010</v>
      </c>
    </row>
    <row r="25" spans="1:19">
      <c r="A25" s="23" t="str">
        <f ca="1">IFERROR(__xludf.DUMMYFUNCTION("""COMPUTED_VALUE"""),"M2 REALIZADOS")</f>
        <v>M2 REALIZADOS</v>
      </c>
      <c r="B25" s="23">
        <f ca="1">IFERROR(__xludf.DUMMYFUNCTION("""COMPUTED_VALUE"""),24)</f>
        <v>24</v>
      </c>
      <c r="C25" s="23" t="str">
        <f ca="1">IFERROR(__xludf.DUMMYFUNCTION("""COMPUTED_VALUE"""),"M2")</f>
        <v>M2</v>
      </c>
      <c r="D25" s="23" t="str">
        <f ca="1">IFERROR(__xludf.DUMMYFUNCTION("""COMPUTED_VALUE"""),"ASCENDENTE")</f>
        <v>ASCENDENTE</v>
      </c>
      <c r="E25" s="23" t="str">
        <f ca="1">IFERROR(__xludf.DUMMYFUNCTION("""COMPUTED_VALUE"""),"BITACORA OPERATIVA")</f>
        <v>BITACORA OPERATIVA</v>
      </c>
      <c r="F25" s="23">
        <f ca="1">IFERROR(__xludf.DUMMYFUNCTION("""COMPUTED_VALUE"""),29.1666666666666)</f>
        <v>29.1666666666666</v>
      </c>
      <c r="G25" s="23">
        <f ca="1">IFERROR(__xludf.DUMMYFUNCTION("""COMPUTED_VALUE"""),0)</f>
        <v>0</v>
      </c>
      <c r="H25" s="23">
        <f ca="1">IFERROR(__xludf.DUMMYFUNCTION("""COMPUTED_VALUE"""),0)</f>
        <v>0</v>
      </c>
      <c r="I25" s="23">
        <f ca="1">IFERROR(__xludf.DUMMYFUNCTION("""COMPUTED_VALUE"""),0)</f>
        <v>0</v>
      </c>
      <c r="J25" s="23">
        <f ca="1">IFERROR(__xludf.DUMMYFUNCTION("""COMPUTED_VALUE"""),2)</f>
        <v>2</v>
      </c>
      <c r="K25" s="23">
        <f ca="1">IFERROR(__xludf.DUMMYFUNCTION("""COMPUTED_VALUE"""),3)</f>
        <v>3</v>
      </c>
      <c r="L25" s="23">
        <f ca="1">IFERROR(__xludf.DUMMYFUNCTION("""COMPUTED_VALUE"""),2)</f>
        <v>2</v>
      </c>
      <c r="M25" s="23">
        <f ca="1">IFERROR(__xludf.DUMMYFUNCTION("""COMPUTED_VALUE"""),0)</f>
        <v>0</v>
      </c>
      <c r="N25" s="23">
        <f ca="1">IFERROR(__xludf.DUMMYFUNCTION("""COMPUTED_VALUE"""),0)</f>
        <v>0</v>
      </c>
      <c r="O25" s="23">
        <f ca="1">IFERROR(__xludf.DUMMYFUNCTION("""COMPUTED_VALUE"""),0)</f>
        <v>0</v>
      </c>
      <c r="P25" s="23">
        <f ca="1">IFERROR(__xludf.DUMMYFUNCTION("""COMPUTED_VALUE"""),0)</f>
        <v>0</v>
      </c>
      <c r="Q25" s="23">
        <f ca="1">IFERROR(__xludf.DUMMYFUNCTION("""COMPUTED_VALUE"""),0)</f>
        <v>0</v>
      </c>
      <c r="R25" s="23">
        <f ca="1">IFERROR(__xludf.DUMMYFUNCTION("""COMPUTED_VALUE"""),0)</f>
        <v>0</v>
      </c>
      <c r="S25" s="23">
        <f ca="1">IFERROR(__xludf.DUMMYFUNCTION("""COMPUTED_VALUE"""),7)</f>
        <v>7</v>
      </c>
    </row>
    <row r="26" spans="1:19">
      <c r="A26" s="23" t="str">
        <f ca="1">IFERROR(__xludf.DUMMYFUNCTION("""COMPUTED_VALUE"""),"MURALES TERMINADOS")</f>
        <v>MURALES TERMINADOS</v>
      </c>
      <c r="B26" s="23">
        <f ca="1">IFERROR(__xludf.DUMMYFUNCTION("""COMPUTED_VALUE"""),24)</f>
        <v>24</v>
      </c>
      <c r="C26" s="23" t="str">
        <f ca="1">IFERROR(__xludf.DUMMYFUNCTION("""COMPUTED_VALUE"""),"MURALES")</f>
        <v>MURALES</v>
      </c>
      <c r="D26" s="23" t="str">
        <f ca="1">IFERROR(__xludf.DUMMYFUNCTION("""COMPUTED_VALUE"""),"ASCENDENTE")</f>
        <v>ASCENDENTE</v>
      </c>
      <c r="E26" s="23" t="str">
        <f ca="1">IFERROR(__xludf.DUMMYFUNCTION("""COMPUTED_VALUE"""),"BITACORA OPERATIVA")</f>
        <v>BITACORA OPERATIVA</v>
      </c>
      <c r="F26" s="23">
        <f ca="1">IFERROR(__xludf.DUMMYFUNCTION("""COMPUTED_VALUE"""),20.8333333333333)</f>
        <v>20.8333333333333</v>
      </c>
      <c r="G26" s="23">
        <f ca="1">IFERROR(__xludf.DUMMYFUNCTION("""COMPUTED_VALUE"""),0)</f>
        <v>0</v>
      </c>
      <c r="H26" s="23">
        <f ca="1">IFERROR(__xludf.DUMMYFUNCTION("""COMPUTED_VALUE"""),0)</f>
        <v>0</v>
      </c>
      <c r="I26" s="23">
        <f ca="1">IFERROR(__xludf.DUMMYFUNCTION("""COMPUTED_VALUE"""),0)</f>
        <v>0</v>
      </c>
      <c r="J26" s="23">
        <f ca="1">IFERROR(__xludf.DUMMYFUNCTION("""COMPUTED_VALUE"""),1)</f>
        <v>1</v>
      </c>
      <c r="K26" s="23">
        <f ca="1">IFERROR(__xludf.DUMMYFUNCTION("""COMPUTED_VALUE"""),2)</f>
        <v>2</v>
      </c>
      <c r="L26" s="23">
        <f ca="1">IFERROR(__xludf.DUMMYFUNCTION("""COMPUTED_VALUE"""),2)</f>
        <v>2</v>
      </c>
      <c r="M26" s="23">
        <f ca="1">IFERROR(__xludf.DUMMYFUNCTION("""COMPUTED_VALUE"""),0)</f>
        <v>0</v>
      </c>
      <c r="N26" s="23">
        <f ca="1">IFERROR(__xludf.DUMMYFUNCTION("""COMPUTED_VALUE"""),0)</f>
        <v>0</v>
      </c>
      <c r="O26" s="23">
        <f ca="1">IFERROR(__xludf.DUMMYFUNCTION("""COMPUTED_VALUE"""),0)</f>
        <v>0</v>
      </c>
      <c r="P26" s="23">
        <f ca="1">IFERROR(__xludf.DUMMYFUNCTION("""COMPUTED_VALUE"""),0)</f>
        <v>0</v>
      </c>
      <c r="Q26" s="23">
        <f ca="1">IFERROR(__xludf.DUMMYFUNCTION("""COMPUTED_VALUE"""),0)</f>
        <v>0</v>
      </c>
      <c r="R26" s="23">
        <f ca="1">IFERROR(__xludf.DUMMYFUNCTION("""COMPUTED_VALUE"""),0)</f>
        <v>0</v>
      </c>
      <c r="S26" s="23">
        <f ca="1">IFERROR(__xludf.DUMMYFUNCTION("""COMPUTED_VALUE"""),5)</f>
        <v>5</v>
      </c>
    </row>
    <row r="27" spans="1:19">
      <c r="A27" s="23" t="str">
        <f ca="1">IFERROR(__xludf.DUMMYFUNCTION("""COMPUTED_VALUE"""),"TALLERES REALIZADOS")</f>
        <v>TALLERES REALIZADOS</v>
      </c>
      <c r="B27" s="23">
        <f ca="1">IFERROR(__xludf.DUMMYFUNCTION("""COMPUTED_VALUE"""),23)</f>
        <v>23</v>
      </c>
      <c r="C27" s="23" t="str">
        <f ca="1">IFERROR(__xludf.DUMMYFUNCTION("""COMPUTED_VALUE"""),"TALLERES")</f>
        <v>TALLERES</v>
      </c>
      <c r="D27" s="23" t="str">
        <f ca="1">IFERROR(__xludf.DUMMYFUNCTION("""COMPUTED_VALUE"""),"ASCENDENTE")</f>
        <v>ASCENDENTE</v>
      </c>
      <c r="E27" s="23" t="str">
        <f ca="1">IFERROR(__xludf.DUMMYFUNCTION("""COMPUTED_VALUE"""),"BITACORA OPERATIVA")</f>
        <v>BITACORA OPERATIVA</v>
      </c>
      <c r="F27" s="23">
        <f ca="1">IFERROR(__xludf.DUMMYFUNCTION("""COMPUTED_VALUE"""),282.608695652173)</f>
        <v>282.60869565217303</v>
      </c>
      <c r="G27" s="23">
        <f ca="1">IFERROR(__xludf.DUMMYFUNCTION("""COMPUTED_VALUE"""),0)</f>
        <v>0</v>
      </c>
      <c r="H27" s="23">
        <f ca="1">IFERROR(__xludf.DUMMYFUNCTION("""COMPUTED_VALUE"""),0)</f>
        <v>0</v>
      </c>
      <c r="I27" s="23">
        <f ca="1">IFERROR(__xludf.DUMMYFUNCTION("""COMPUTED_VALUE"""),0)</f>
        <v>0</v>
      </c>
      <c r="J27" s="23">
        <f ca="1">IFERROR(__xludf.DUMMYFUNCTION("""COMPUTED_VALUE"""),19)</f>
        <v>19</v>
      </c>
      <c r="K27" s="23">
        <f ca="1">IFERROR(__xludf.DUMMYFUNCTION("""COMPUTED_VALUE"""),23)</f>
        <v>23</v>
      </c>
      <c r="L27" s="23">
        <f ca="1">IFERROR(__xludf.DUMMYFUNCTION("""COMPUTED_VALUE"""),23)</f>
        <v>23</v>
      </c>
      <c r="M27" s="23">
        <f ca="1">IFERROR(__xludf.DUMMYFUNCTION("""COMPUTED_VALUE"""),0)</f>
        <v>0</v>
      </c>
      <c r="N27" s="23">
        <f ca="1">IFERROR(__xludf.DUMMYFUNCTION("""COMPUTED_VALUE"""),0)</f>
        <v>0</v>
      </c>
      <c r="O27" s="23">
        <f ca="1">IFERROR(__xludf.DUMMYFUNCTION("""COMPUTED_VALUE"""),0)</f>
        <v>0</v>
      </c>
      <c r="P27" s="23">
        <f ca="1">IFERROR(__xludf.DUMMYFUNCTION("""COMPUTED_VALUE"""),0)</f>
        <v>0</v>
      </c>
      <c r="Q27" s="23">
        <f ca="1">IFERROR(__xludf.DUMMYFUNCTION("""COMPUTED_VALUE"""),0)</f>
        <v>0</v>
      </c>
      <c r="R27" s="23">
        <f ca="1">IFERROR(__xludf.DUMMYFUNCTION("""COMPUTED_VALUE"""),0)</f>
        <v>0</v>
      </c>
      <c r="S27" s="23">
        <f ca="1">IFERROR(__xludf.DUMMYFUNCTION("""COMPUTED_VALUE"""),65)</f>
        <v>65</v>
      </c>
    </row>
    <row r="28" spans="1:19">
      <c r="A28" s="23" t="str">
        <f ca="1">IFERROR(__xludf.DUMMYFUNCTION("""COMPUTED_VALUE"""),"PERSONAS BENEFICIADAS")</f>
        <v>PERSONAS BENEFICIADAS</v>
      </c>
      <c r="B28" s="23">
        <f ca="1">IFERROR(__xludf.DUMMYFUNCTION("""COMPUTED_VALUE"""),4260)</f>
        <v>4260</v>
      </c>
      <c r="C28" s="23" t="str">
        <f ca="1">IFERROR(__xludf.DUMMYFUNCTION("""COMPUTED_VALUE"""),"PERSONAS")</f>
        <v>PERSONAS</v>
      </c>
      <c r="D28" s="23" t="str">
        <f ca="1">IFERROR(__xludf.DUMMYFUNCTION("""COMPUTED_VALUE"""),"ASCENDENTE")</f>
        <v>ASCENDENTE</v>
      </c>
      <c r="E28" s="23" t="str">
        <f ca="1">IFERROR(__xludf.DUMMYFUNCTION("""COMPUTED_VALUE"""),"BITACORA OPERATIVA")</f>
        <v>BITACORA OPERATIVA</v>
      </c>
      <c r="F28" s="23">
        <f ca="1">IFERROR(__xludf.DUMMYFUNCTION("""COMPUTED_VALUE"""),25)</f>
        <v>25</v>
      </c>
      <c r="G28" s="23">
        <f ca="1">IFERROR(__xludf.DUMMYFUNCTION("""COMPUTED_VALUE"""),0)</f>
        <v>0</v>
      </c>
      <c r="H28" s="23">
        <f ca="1">IFERROR(__xludf.DUMMYFUNCTION("""COMPUTED_VALUE"""),0)</f>
        <v>0</v>
      </c>
      <c r="I28" s="23">
        <f ca="1">IFERROR(__xludf.DUMMYFUNCTION("""COMPUTED_VALUE"""),0)</f>
        <v>0</v>
      </c>
      <c r="J28" s="23">
        <f ca="1">IFERROR(__xludf.DUMMYFUNCTION("""COMPUTED_VALUE"""),327)</f>
        <v>327</v>
      </c>
      <c r="K28" s="23">
        <f ca="1">IFERROR(__xludf.DUMMYFUNCTION("""COMPUTED_VALUE"""),371)</f>
        <v>371</v>
      </c>
      <c r="L28" s="23">
        <f ca="1">IFERROR(__xludf.DUMMYFUNCTION("""COMPUTED_VALUE"""),367)</f>
        <v>367</v>
      </c>
      <c r="M28" s="23">
        <f ca="1">IFERROR(__xludf.DUMMYFUNCTION("""COMPUTED_VALUE"""),0)</f>
        <v>0</v>
      </c>
      <c r="N28" s="23">
        <f ca="1">IFERROR(__xludf.DUMMYFUNCTION("""COMPUTED_VALUE"""),0)</f>
        <v>0</v>
      </c>
      <c r="O28" s="23">
        <f ca="1">IFERROR(__xludf.DUMMYFUNCTION("""COMPUTED_VALUE"""),0)</f>
        <v>0</v>
      </c>
      <c r="P28" s="23">
        <f ca="1">IFERROR(__xludf.DUMMYFUNCTION("""COMPUTED_VALUE"""),0)</f>
        <v>0</v>
      </c>
      <c r="Q28" s="23">
        <f ca="1">IFERROR(__xludf.DUMMYFUNCTION("""COMPUTED_VALUE"""),0)</f>
        <v>0</v>
      </c>
      <c r="R28" s="23">
        <f ca="1">IFERROR(__xludf.DUMMYFUNCTION("""COMPUTED_VALUE"""),0)</f>
        <v>0</v>
      </c>
      <c r="S28" s="23">
        <f ca="1">IFERROR(__xludf.DUMMYFUNCTION("""COMPUTED_VALUE"""),1065)</f>
        <v>1065</v>
      </c>
    </row>
    <row r="29" spans="1:19">
      <c r="A29" s="23" t="str">
        <f ca="1">IFERROR(__xludf.DUMMYFUNCTION("""COMPUTED_VALUE"""),"TALLERES REALIZADOS")</f>
        <v>TALLERES REALIZADOS</v>
      </c>
      <c r="B29" s="23">
        <f ca="1">IFERROR(__xludf.DUMMYFUNCTION("""COMPUTED_VALUE"""),10)</f>
        <v>10</v>
      </c>
      <c r="C29" s="23" t="str">
        <f ca="1">IFERROR(__xludf.DUMMYFUNCTION("""COMPUTED_VALUE"""),"TALLERES")</f>
        <v>TALLERES</v>
      </c>
      <c r="D29" s="23" t="str">
        <f ca="1">IFERROR(__xludf.DUMMYFUNCTION("""COMPUTED_VALUE"""),"ASCENDENTE")</f>
        <v>ASCENDENTE</v>
      </c>
      <c r="E29" s="23" t="str">
        <f ca="1">IFERROR(__xludf.DUMMYFUNCTION("""COMPUTED_VALUE"""),"BITACORA OPERATIVA")</f>
        <v>BITACORA OPERATIVA</v>
      </c>
      <c r="F29" s="23">
        <f ca="1">IFERROR(__xludf.DUMMYFUNCTION("""COMPUTED_VALUE"""),300)</f>
        <v>300</v>
      </c>
      <c r="G29" s="23">
        <f ca="1">IFERROR(__xludf.DUMMYFUNCTION("""COMPUTED_VALUE"""),0)</f>
        <v>0</v>
      </c>
      <c r="H29" s="23">
        <f ca="1">IFERROR(__xludf.DUMMYFUNCTION("""COMPUTED_VALUE"""),0)</f>
        <v>0</v>
      </c>
      <c r="I29" s="23">
        <f ca="1">IFERROR(__xludf.DUMMYFUNCTION("""COMPUTED_VALUE"""),0)</f>
        <v>0</v>
      </c>
      <c r="J29" s="23">
        <f ca="1">IFERROR(__xludf.DUMMYFUNCTION("""COMPUTED_VALUE"""),10)</f>
        <v>10</v>
      </c>
      <c r="K29" s="23">
        <f ca="1">IFERROR(__xludf.DUMMYFUNCTION("""COMPUTED_VALUE"""),10)</f>
        <v>10</v>
      </c>
      <c r="L29" s="23">
        <f ca="1">IFERROR(__xludf.DUMMYFUNCTION("""COMPUTED_VALUE"""),10)</f>
        <v>10</v>
      </c>
      <c r="M29" s="23">
        <f ca="1">IFERROR(__xludf.DUMMYFUNCTION("""COMPUTED_VALUE"""),0)</f>
        <v>0</v>
      </c>
      <c r="N29" s="23">
        <f ca="1">IFERROR(__xludf.DUMMYFUNCTION("""COMPUTED_VALUE"""),0)</f>
        <v>0</v>
      </c>
      <c r="O29" s="23">
        <f ca="1">IFERROR(__xludf.DUMMYFUNCTION("""COMPUTED_VALUE"""),0)</f>
        <v>0</v>
      </c>
      <c r="P29" s="23">
        <f ca="1">IFERROR(__xludf.DUMMYFUNCTION("""COMPUTED_VALUE"""),0)</f>
        <v>0</v>
      </c>
      <c r="Q29" s="23">
        <f ca="1">IFERROR(__xludf.DUMMYFUNCTION("""COMPUTED_VALUE"""),0)</f>
        <v>0</v>
      </c>
      <c r="R29" s="23">
        <f ca="1">IFERROR(__xludf.DUMMYFUNCTION("""COMPUTED_VALUE"""),0)</f>
        <v>0</v>
      </c>
      <c r="S29" s="23">
        <f ca="1">IFERROR(__xludf.DUMMYFUNCTION("""COMPUTED_VALUE"""),30)</f>
        <v>30</v>
      </c>
    </row>
    <row r="30" spans="1:19">
      <c r="A30" s="23" t="str">
        <f ca="1">IFERROR(__xludf.DUMMYFUNCTION("""COMPUTED_VALUE"""),"PERSONAS BENEFICIADAS")</f>
        <v>PERSONAS BENEFICIADAS</v>
      </c>
      <c r="B30" s="23">
        <f ca="1">IFERROR(__xludf.DUMMYFUNCTION("""COMPUTED_VALUE"""),1620)</f>
        <v>1620</v>
      </c>
      <c r="C30" s="23" t="str">
        <f ca="1">IFERROR(__xludf.DUMMYFUNCTION("""COMPUTED_VALUE"""),"PERSONAS")</f>
        <v>PERSONAS</v>
      </c>
      <c r="D30" s="23" t="str">
        <f ca="1">IFERROR(__xludf.DUMMYFUNCTION("""COMPUTED_VALUE"""),"ASCENDENTE")</f>
        <v>ASCENDENTE</v>
      </c>
      <c r="E30" s="23" t="str">
        <f ca="1">IFERROR(__xludf.DUMMYFUNCTION("""COMPUTED_VALUE"""),"BITACORA OPERATIVA")</f>
        <v>BITACORA OPERATIVA</v>
      </c>
      <c r="F30" s="23">
        <f ca="1">IFERROR(__xludf.DUMMYFUNCTION("""COMPUTED_VALUE"""),25)</f>
        <v>25</v>
      </c>
      <c r="G30" s="23">
        <f ca="1">IFERROR(__xludf.DUMMYFUNCTION("""COMPUTED_VALUE"""),0)</f>
        <v>0</v>
      </c>
      <c r="H30" s="23">
        <f ca="1">IFERROR(__xludf.DUMMYFUNCTION("""COMPUTED_VALUE"""),0)</f>
        <v>0</v>
      </c>
      <c r="I30" s="23">
        <f ca="1">IFERROR(__xludf.DUMMYFUNCTION("""COMPUTED_VALUE"""),0)</f>
        <v>0</v>
      </c>
      <c r="J30" s="23">
        <f ca="1">IFERROR(__xludf.DUMMYFUNCTION("""COMPUTED_VALUE"""),87)</f>
        <v>87</v>
      </c>
      <c r="K30" s="23">
        <f ca="1">IFERROR(__xludf.DUMMYFUNCTION("""COMPUTED_VALUE"""),151)</f>
        <v>151</v>
      </c>
      <c r="L30" s="23">
        <f ca="1">IFERROR(__xludf.DUMMYFUNCTION("""COMPUTED_VALUE"""),167)</f>
        <v>167</v>
      </c>
      <c r="M30" s="23">
        <f ca="1">IFERROR(__xludf.DUMMYFUNCTION("""COMPUTED_VALUE"""),0)</f>
        <v>0</v>
      </c>
      <c r="N30" s="23">
        <f ca="1">IFERROR(__xludf.DUMMYFUNCTION("""COMPUTED_VALUE"""),0)</f>
        <v>0</v>
      </c>
      <c r="O30" s="23">
        <f ca="1">IFERROR(__xludf.DUMMYFUNCTION("""COMPUTED_VALUE"""),0)</f>
        <v>0</v>
      </c>
      <c r="P30" s="23">
        <f ca="1">IFERROR(__xludf.DUMMYFUNCTION("""COMPUTED_VALUE"""),0)</f>
        <v>0</v>
      </c>
      <c r="Q30" s="23">
        <f ca="1">IFERROR(__xludf.DUMMYFUNCTION("""COMPUTED_VALUE"""),0)</f>
        <v>0</v>
      </c>
      <c r="R30" s="23">
        <f ca="1">IFERROR(__xludf.DUMMYFUNCTION("""COMPUTED_VALUE"""),0)</f>
        <v>0</v>
      </c>
      <c r="S30" s="23">
        <f ca="1">IFERROR(__xludf.DUMMYFUNCTION("""COMPUTED_VALUE"""),405)</f>
        <v>405</v>
      </c>
    </row>
    <row r="31" spans="1:19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</row>
    <row r="32" spans="1:19">
      <c r="A32" s="23"/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</row>
    <row r="33" spans="1:19">
      <c r="A33" s="23"/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</row>
    <row r="34" spans="1:19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</row>
    <row r="35" spans="1:19">
      <c r="A35" s="23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</row>
    <row r="36" spans="1:19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</row>
    <row r="37" spans="1:19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</row>
    <row r="38" spans="1:19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</row>
    <row r="39" spans="1:19">
      <c r="A39" s="23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</row>
    <row r="41" spans="1:19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</row>
    <row r="42" spans="1:19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</row>
    <row r="43" spans="1:19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</row>
    <row r="44" spans="1:19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</row>
    <row r="45" spans="1:19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</row>
    <row r="46" spans="1:19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</row>
    <row r="47" spans="1:19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</row>
    <row r="48" spans="1:19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</row>
    <row r="49" spans="1:19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</row>
    <row r="50" spans="1:19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</row>
    <row r="51" spans="1:19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</row>
    <row r="52" spans="1:19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</row>
    <row r="53" spans="1:19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</row>
    <row r="54" spans="1:19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</row>
    <row r="55" spans="1:19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</row>
    <row r="56" spans="1:19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</row>
    <row r="57" spans="1:19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</row>
    <row r="58" spans="1:19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</row>
    <row r="59" spans="1:19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</row>
    <row r="60" spans="1:19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</row>
    <row r="61" spans="1:19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</row>
    <row r="62" spans="1:19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</row>
    <row r="63" spans="1:19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</row>
    <row r="64" spans="1:19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</row>
    <row r="65" spans="1:19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</row>
    <row r="66" spans="1:19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</row>
    <row r="67" spans="1:19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</row>
    <row r="68" spans="1:19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</row>
    <row r="69" spans="1:19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</row>
    <row r="70" spans="1:19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</row>
    <row r="71" spans="1:19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</row>
    <row r="72" spans="1:19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</row>
    <row r="73" spans="1:19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</row>
    <row r="74" spans="1:19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</row>
    <row r="75" spans="1:19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</row>
    <row r="76" spans="1:19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</row>
    <row r="77" spans="1:19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</row>
    <row r="78" spans="1:19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</row>
    <row r="79" spans="1:19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</row>
    <row r="80" spans="1:19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</row>
    <row r="81" spans="1:19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</row>
    <row r="82" spans="1:19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</row>
    <row r="83" spans="1:19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</row>
    <row r="84" spans="1:19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</row>
    <row r="85" spans="1:19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</row>
    <row r="86" spans="1:19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</row>
    <row r="87" spans="1:19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</row>
    <row r="88" spans="1:19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</row>
    <row r="89" spans="1:19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</row>
    <row r="90" spans="1:19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</row>
    <row r="91" spans="1:19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</row>
    <row r="92" spans="1:19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</row>
    <row r="93" spans="1:19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</row>
    <row r="94" spans="1:19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</row>
    <row r="95" spans="1:19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</row>
    <row r="96" spans="1:19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</row>
    <row r="97" spans="1:19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</row>
    <row r="98" spans="1:19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</row>
    <row r="99" spans="1:19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</row>
    <row r="100" spans="1:19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</row>
    <row r="101" spans="1:19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</row>
    <row r="102" spans="1:19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</row>
    <row r="103" spans="1:19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</row>
    <row r="104" spans="1:19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</row>
    <row r="105" spans="1:19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</row>
    <row r="106" spans="1:19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</row>
    <row r="107" spans="1:19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</row>
    <row r="108" spans="1:19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</row>
    <row r="109" spans="1:19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</row>
    <row r="110" spans="1:19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</row>
    <row r="111" spans="1:19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</row>
    <row r="112" spans="1:19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</row>
    <row r="113" spans="1:19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</row>
    <row r="114" spans="1:19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</row>
    <row r="115" spans="1:19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</row>
    <row r="116" spans="1:19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</row>
    <row r="117" spans="1:19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</row>
    <row r="118" spans="1:19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</row>
    <row r="119" spans="1:19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</row>
    <row r="120" spans="1:19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</row>
    <row r="121" spans="1:19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</row>
    <row r="122" spans="1:19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</row>
    <row r="123" spans="1:19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</row>
    <row r="124" spans="1:19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</row>
    <row r="125" spans="1:19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</row>
    <row r="126" spans="1:19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</row>
    <row r="127" spans="1:19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</row>
    <row r="128" spans="1:19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</row>
    <row r="129" spans="1:19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</row>
    <row r="130" spans="1:19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</row>
    <row r="131" spans="1:19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</row>
    <row r="132" spans="1:19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</row>
    <row r="133" spans="1:19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</row>
    <row r="134" spans="1:19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</row>
    <row r="135" spans="1:19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</row>
    <row r="136" spans="1:19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</row>
    <row r="137" spans="1:19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</row>
    <row r="138" spans="1:19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</row>
    <row r="139" spans="1:19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</row>
    <row r="140" spans="1:19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</row>
    <row r="141" spans="1:19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</row>
    <row r="142" spans="1:19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</row>
    <row r="143" spans="1:19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</row>
    <row r="144" spans="1:19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</row>
    <row r="145" spans="1:19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</row>
    <row r="146" spans="1:19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</row>
    <row r="147" spans="1:19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</row>
    <row r="148" spans="1:19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</row>
    <row r="149" spans="1:19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</row>
    <row r="150" spans="1:19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</row>
    <row r="151" spans="1:19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</row>
    <row r="152" spans="1:19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</row>
    <row r="153" spans="1:19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</row>
    <row r="154" spans="1:19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</row>
    <row r="155" spans="1:19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</row>
    <row r="156" spans="1:19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</row>
    <row r="157" spans="1:19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</row>
    <row r="158" spans="1:19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</row>
    <row r="159" spans="1:19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</row>
    <row r="160" spans="1:19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</row>
    <row r="161" spans="1:19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</row>
    <row r="162" spans="1:19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</row>
    <row r="163" spans="1:19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</row>
    <row r="164" spans="1:19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</row>
    <row r="165" spans="1:19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</row>
    <row r="166" spans="1:19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</row>
    <row r="167" spans="1:19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</row>
    <row r="168" spans="1:19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</row>
    <row r="169" spans="1:19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</row>
    <row r="170" spans="1:19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</row>
    <row r="171" spans="1:19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</row>
    <row r="172" spans="1:19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</row>
    <row r="173" spans="1:19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</row>
    <row r="174" spans="1:19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</row>
    <row r="175" spans="1:19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</row>
    <row r="176" spans="1:19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</row>
    <row r="177" spans="1:19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</row>
    <row r="178" spans="1:19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</row>
    <row r="179" spans="1:19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</row>
    <row r="180" spans="1:19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</row>
    <row r="181" spans="1:19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</row>
    <row r="182" spans="1:19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</row>
    <row r="183" spans="1:19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</row>
    <row r="184" spans="1:19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</row>
    <row r="185" spans="1:19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</row>
    <row r="186" spans="1:19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</row>
    <row r="187" spans="1:19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</row>
    <row r="188" spans="1:19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</row>
    <row r="189" spans="1:19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</row>
    <row r="190" spans="1:19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</row>
    <row r="191" spans="1:19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</row>
    <row r="192" spans="1:19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</row>
    <row r="193" spans="1:19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</row>
    <row r="194" spans="1:19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</row>
    <row r="195" spans="1:19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</row>
    <row r="196" spans="1:19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</row>
    <row r="197" spans="1:19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</row>
    <row r="198" spans="1:19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</row>
    <row r="199" spans="1:19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</row>
    <row r="200" spans="1:19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</row>
    <row r="201" spans="1:19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</row>
    <row r="202" spans="1:19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</row>
    <row r="203" spans="1:19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</row>
    <row r="204" spans="1:19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</row>
    <row r="205" spans="1:19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</row>
    <row r="206" spans="1:19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</row>
    <row r="207" spans="1:19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</row>
    <row r="208" spans="1:19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</row>
    <row r="209" spans="1:19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</row>
    <row r="210" spans="1:19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</row>
    <row r="211" spans="1:19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</row>
    <row r="212" spans="1:19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</row>
    <row r="213" spans="1:19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</row>
    <row r="214" spans="1:19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</row>
    <row r="215" spans="1:19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</row>
    <row r="216" spans="1:19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</row>
    <row r="217" spans="1:19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</row>
    <row r="218" spans="1:19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</row>
    <row r="219" spans="1:19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</row>
    <row r="220" spans="1:19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</row>
    <row r="221" spans="1:19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</row>
    <row r="222" spans="1:19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</row>
    <row r="223" spans="1:19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</row>
    <row r="224" spans="1:19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</row>
    <row r="225" spans="1:19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</row>
    <row r="226" spans="1:19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</row>
    <row r="227" spans="1:19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</row>
    <row r="228" spans="1:19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</row>
    <row r="229" spans="1:19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</row>
    <row r="230" spans="1:19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</row>
    <row r="231" spans="1:19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</row>
    <row r="232" spans="1:19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</row>
    <row r="233" spans="1:19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</row>
    <row r="234" spans="1:19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</row>
    <row r="235" spans="1:19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</row>
    <row r="236" spans="1:19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</row>
    <row r="237" spans="1:19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</row>
    <row r="238" spans="1:19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</row>
    <row r="239" spans="1:19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</row>
    <row r="240" spans="1:19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</row>
    <row r="241" spans="1:19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</row>
    <row r="242" spans="1:19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</row>
    <row r="243" spans="1:19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</row>
    <row r="244" spans="1:19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</row>
    <row r="245" spans="1:19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</row>
    <row r="246" spans="1:19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</row>
    <row r="247" spans="1:19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</row>
    <row r="248" spans="1:19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</row>
    <row r="249" spans="1:19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</row>
    <row r="250" spans="1:19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</row>
    <row r="251" spans="1:19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</row>
    <row r="252" spans="1:19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</row>
    <row r="253" spans="1:19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</row>
    <row r="254" spans="1:19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</row>
    <row r="255" spans="1:19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</row>
    <row r="256" spans="1:19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</row>
    <row r="257" spans="1:19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</row>
    <row r="258" spans="1:19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</row>
    <row r="259" spans="1:19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</row>
    <row r="260" spans="1:19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</row>
    <row r="261" spans="1:19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</row>
    <row r="262" spans="1:19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</row>
    <row r="263" spans="1:19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</row>
    <row r="264" spans="1:19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</row>
    <row r="265" spans="1:19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</row>
    <row r="266" spans="1:19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</row>
    <row r="267" spans="1:19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</row>
    <row r="268" spans="1:19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</row>
    <row r="269" spans="1:19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</row>
    <row r="270" spans="1:19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</row>
    <row r="271" spans="1:19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</row>
    <row r="272" spans="1:19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</row>
    <row r="273" spans="1:19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</row>
    <row r="274" spans="1:19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</row>
    <row r="275" spans="1:19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</row>
    <row r="276" spans="1:19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</row>
    <row r="277" spans="1:19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</row>
    <row r="278" spans="1:19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</row>
    <row r="279" spans="1:19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</row>
    <row r="280" spans="1:19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</row>
    <row r="281" spans="1:19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</row>
    <row r="282" spans="1:19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</row>
    <row r="283" spans="1:19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</row>
    <row r="284" spans="1:19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</row>
    <row r="285" spans="1:19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</row>
    <row r="286" spans="1:19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</row>
    <row r="287" spans="1:19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</row>
    <row r="288" spans="1:19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</row>
    <row r="289" spans="1:19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</row>
    <row r="290" spans="1:19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</row>
    <row r="291" spans="1:19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</row>
    <row r="292" spans="1:19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</row>
    <row r="293" spans="1:19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</row>
    <row r="294" spans="1:19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</row>
    <row r="295" spans="1:19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</row>
    <row r="296" spans="1:19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</row>
    <row r="297" spans="1:19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</row>
    <row r="298" spans="1:19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</row>
    <row r="299" spans="1:19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</row>
    <row r="300" spans="1:19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</row>
    <row r="301" spans="1:19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</row>
    <row r="302" spans="1:19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</row>
    <row r="303" spans="1:19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</row>
    <row r="304" spans="1:19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</row>
    <row r="305" spans="1:19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</row>
    <row r="306" spans="1:19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</row>
    <row r="307" spans="1:19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</row>
    <row r="308" spans="1:19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</row>
    <row r="309" spans="1:19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</row>
    <row r="310" spans="1:19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</row>
    <row r="311" spans="1:19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</row>
    <row r="312" spans="1:19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</row>
    <row r="313" spans="1:19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</row>
    <row r="314" spans="1:19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</row>
    <row r="315" spans="1:19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</row>
    <row r="316" spans="1:19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</row>
    <row r="317" spans="1:19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</row>
    <row r="318" spans="1:19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</row>
    <row r="319" spans="1:19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</row>
    <row r="320" spans="1:19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</row>
    <row r="321" spans="1:19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</row>
    <row r="322" spans="1:19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</row>
    <row r="323" spans="1:19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</row>
    <row r="324" spans="1:19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</row>
    <row r="325" spans="1:19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</row>
    <row r="326" spans="1:19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</row>
    <row r="327" spans="1:19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</row>
    <row r="328" spans="1:19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</row>
    <row r="329" spans="1:19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</row>
    <row r="330" spans="1:19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</row>
    <row r="331" spans="1:19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</row>
    <row r="332" spans="1:19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</row>
    <row r="333" spans="1:19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</row>
    <row r="334" spans="1:19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</row>
    <row r="335" spans="1:19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</row>
    <row r="336" spans="1:19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</row>
    <row r="337" spans="1:19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</row>
    <row r="338" spans="1:19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</row>
    <row r="339" spans="1:19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</row>
    <row r="340" spans="1:19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</row>
    <row r="341" spans="1:19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</row>
    <row r="342" spans="1:19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</row>
    <row r="343" spans="1:19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</row>
    <row r="344" spans="1:19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</row>
    <row r="345" spans="1:19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</row>
    <row r="346" spans="1:19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</row>
    <row r="347" spans="1:19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</row>
    <row r="348" spans="1:19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</row>
    <row r="349" spans="1:19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</row>
    <row r="350" spans="1:19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</row>
    <row r="351" spans="1:19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</row>
    <row r="352" spans="1:19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</row>
    <row r="353" spans="1:19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</row>
    <row r="354" spans="1:19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</row>
    <row r="355" spans="1:19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</row>
    <row r="356" spans="1:19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</row>
    <row r="357" spans="1:19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</row>
    <row r="358" spans="1:19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</row>
    <row r="359" spans="1:19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</row>
    <row r="360" spans="1:19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</row>
    <row r="361" spans="1:19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</row>
    <row r="362" spans="1:19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</row>
    <row r="363" spans="1:19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</row>
    <row r="364" spans="1:19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</row>
    <row r="365" spans="1:19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</row>
    <row r="366" spans="1:19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</row>
    <row r="367" spans="1:19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</row>
    <row r="368" spans="1:19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</row>
    <row r="369" spans="1:19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</row>
    <row r="370" spans="1:19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</row>
    <row r="371" spans="1:19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</row>
    <row r="372" spans="1:19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</row>
    <row r="373" spans="1:19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</row>
    <row r="374" spans="1:19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</row>
    <row r="375" spans="1:19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</row>
    <row r="376" spans="1:19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</row>
    <row r="377" spans="1:19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</row>
    <row r="378" spans="1:19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</row>
    <row r="379" spans="1:19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</row>
    <row r="380" spans="1:19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</row>
    <row r="381" spans="1:19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</row>
    <row r="382" spans="1:19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</row>
    <row r="383" spans="1:19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</row>
    <row r="384" spans="1:19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</row>
    <row r="385" spans="1:19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</row>
    <row r="386" spans="1:19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</row>
    <row r="387" spans="1:19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</row>
    <row r="388" spans="1:19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</row>
    <row r="389" spans="1:19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</row>
    <row r="390" spans="1:19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</row>
    <row r="391" spans="1:19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</row>
    <row r="392" spans="1:19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</row>
    <row r="393" spans="1:19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</row>
    <row r="394" spans="1:19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</row>
    <row r="395" spans="1:19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</row>
    <row r="396" spans="1:19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</row>
    <row r="397" spans="1:19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</row>
    <row r="398" spans="1:19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</row>
    <row r="399" spans="1:19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</row>
    <row r="400" spans="1:19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</row>
    <row r="401" spans="1:19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</row>
    <row r="402" spans="1:19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</row>
    <row r="403" spans="1:19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</row>
    <row r="404" spans="1:19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</row>
    <row r="405" spans="1:19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</row>
    <row r="406" spans="1:19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</row>
    <row r="407" spans="1:19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</row>
    <row r="408" spans="1:19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</row>
    <row r="409" spans="1:19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</row>
    <row r="410" spans="1:19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</row>
    <row r="411" spans="1:19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</row>
    <row r="412" spans="1:19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</row>
    <row r="413" spans="1:19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</row>
    <row r="414" spans="1:19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</row>
    <row r="415" spans="1:19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</row>
    <row r="416" spans="1:19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</row>
    <row r="417" spans="1:19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</row>
    <row r="418" spans="1:19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</row>
    <row r="419" spans="1:19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</row>
    <row r="420" spans="1:19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</row>
    <row r="421" spans="1:19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</row>
    <row r="422" spans="1:19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</row>
    <row r="423" spans="1:19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</row>
    <row r="424" spans="1:19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</row>
    <row r="425" spans="1:19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</row>
    <row r="426" spans="1:19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</row>
    <row r="427" spans="1:19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</row>
    <row r="428" spans="1:19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</row>
    <row r="429" spans="1:19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</row>
    <row r="430" spans="1:19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</row>
    <row r="431" spans="1:19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</row>
    <row r="432" spans="1:19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</row>
    <row r="433" spans="1:19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</row>
    <row r="434" spans="1:19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</row>
    <row r="435" spans="1:19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</row>
    <row r="436" spans="1:19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</row>
    <row r="437" spans="1:19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</row>
    <row r="438" spans="1:19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</row>
    <row r="439" spans="1:19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</row>
    <row r="440" spans="1:19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</row>
    <row r="441" spans="1:19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</row>
    <row r="442" spans="1:19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</row>
    <row r="443" spans="1:19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</row>
    <row r="444" spans="1:19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</row>
    <row r="445" spans="1:19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</row>
    <row r="446" spans="1:19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</row>
    <row r="447" spans="1:19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</row>
    <row r="448" spans="1:19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</row>
    <row r="449" spans="1:19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</row>
    <row r="450" spans="1:19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</row>
    <row r="451" spans="1:19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</row>
    <row r="452" spans="1:19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</row>
    <row r="453" spans="1:19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</row>
    <row r="454" spans="1:19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</row>
    <row r="455" spans="1:19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</row>
    <row r="456" spans="1:19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</row>
    <row r="457" spans="1:19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</row>
    <row r="458" spans="1:19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</row>
    <row r="459" spans="1:19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</row>
    <row r="460" spans="1:19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</row>
    <row r="461" spans="1:19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</row>
    <row r="462" spans="1:19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</row>
    <row r="463" spans="1:19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</row>
    <row r="464" spans="1:19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</row>
    <row r="465" spans="1:19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</row>
    <row r="466" spans="1:19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</row>
    <row r="467" spans="1:19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</row>
    <row r="468" spans="1:19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</row>
    <row r="469" spans="1:19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</row>
    <row r="470" spans="1:19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</row>
    <row r="471" spans="1:19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</row>
    <row r="472" spans="1:19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</row>
    <row r="473" spans="1:19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</row>
    <row r="474" spans="1:19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</row>
    <row r="475" spans="1:19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</row>
    <row r="476" spans="1:19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</row>
    <row r="477" spans="1:19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</row>
    <row r="478" spans="1:19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</row>
    <row r="479" spans="1:19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</row>
    <row r="480" spans="1:19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</row>
    <row r="481" spans="1:19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</row>
    <row r="482" spans="1:19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</row>
    <row r="483" spans="1:19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</row>
    <row r="484" spans="1:19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</row>
    <row r="485" spans="1:19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</row>
    <row r="486" spans="1:19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</row>
    <row r="487" spans="1:19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</row>
    <row r="488" spans="1:19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</row>
    <row r="489" spans="1:19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</row>
    <row r="490" spans="1:19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</row>
    <row r="491" spans="1:19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</row>
    <row r="492" spans="1:19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</row>
    <row r="493" spans="1:19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</row>
    <row r="494" spans="1:19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</row>
    <row r="495" spans="1:19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</row>
    <row r="496" spans="1:19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</row>
    <row r="497" spans="1:19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</row>
    <row r="498" spans="1:19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</row>
    <row r="499" spans="1:19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</row>
    <row r="500" spans="1:19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</row>
    <row r="501" spans="1:19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</row>
    <row r="502" spans="1:19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</row>
    <row r="503" spans="1:19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</row>
    <row r="504" spans="1:19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</row>
    <row r="505" spans="1:19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</row>
    <row r="506" spans="1:19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</row>
    <row r="507" spans="1:19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</row>
    <row r="508" spans="1:19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</row>
    <row r="509" spans="1:19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</row>
    <row r="510" spans="1:19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</row>
    <row r="511" spans="1:19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</row>
    <row r="512" spans="1:19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</row>
    <row r="513" spans="1:19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</row>
    <row r="514" spans="1:19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</row>
    <row r="515" spans="1:19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</row>
    <row r="516" spans="1:19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</row>
    <row r="517" spans="1:19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</row>
    <row r="518" spans="1:19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</row>
    <row r="519" spans="1:19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</row>
    <row r="520" spans="1:19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</row>
    <row r="521" spans="1:19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</row>
    <row r="522" spans="1:19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</row>
    <row r="523" spans="1:19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</row>
    <row r="524" spans="1:19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</row>
    <row r="525" spans="1:19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</row>
    <row r="526" spans="1:19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</row>
    <row r="527" spans="1:19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</row>
    <row r="528" spans="1:19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</row>
    <row r="529" spans="1:19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</row>
    <row r="530" spans="1:19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</row>
    <row r="531" spans="1:19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</row>
    <row r="532" spans="1:19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</row>
    <row r="533" spans="1:19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</row>
    <row r="534" spans="1:19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</row>
    <row r="535" spans="1:19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</row>
    <row r="536" spans="1:19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</row>
    <row r="537" spans="1:19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</row>
    <row r="538" spans="1:19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</row>
    <row r="539" spans="1:19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</row>
    <row r="540" spans="1:19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</row>
    <row r="541" spans="1:19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</row>
    <row r="542" spans="1:19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</row>
    <row r="543" spans="1:19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</row>
    <row r="544" spans="1:19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</row>
    <row r="545" spans="1:19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</row>
    <row r="546" spans="1:19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</row>
    <row r="547" spans="1:19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</row>
    <row r="548" spans="1:19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</row>
    <row r="549" spans="1:19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</row>
    <row r="550" spans="1:19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</row>
    <row r="551" spans="1:19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</row>
    <row r="552" spans="1:19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</row>
    <row r="553" spans="1:19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</row>
    <row r="554" spans="1:19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</row>
    <row r="555" spans="1:19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</row>
    <row r="556" spans="1:19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</row>
    <row r="557" spans="1:19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</row>
    <row r="558" spans="1:19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</row>
    <row r="559" spans="1:19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</row>
    <row r="560" spans="1:19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</row>
    <row r="561" spans="1:19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</row>
    <row r="562" spans="1:19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</row>
    <row r="563" spans="1:19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</row>
    <row r="564" spans="1:19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</row>
    <row r="565" spans="1:19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</row>
    <row r="566" spans="1:19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</row>
    <row r="567" spans="1:19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</row>
    <row r="568" spans="1:19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</row>
    <row r="569" spans="1:19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</row>
    <row r="570" spans="1:19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</row>
    <row r="571" spans="1:19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</row>
    <row r="572" spans="1:19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</row>
    <row r="573" spans="1:19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</row>
    <row r="574" spans="1:19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</row>
    <row r="575" spans="1:19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</row>
    <row r="576" spans="1:19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</row>
    <row r="577" spans="1:19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</row>
    <row r="578" spans="1:19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</row>
    <row r="579" spans="1:19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</row>
    <row r="580" spans="1:19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</row>
    <row r="581" spans="1:19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</row>
    <row r="582" spans="1:19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</row>
    <row r="583" spans="1:19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</row>
    <row r="584" spans="1:19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</row>
    <row r="585" spans="1:19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</row>
    <row r="586" spans="1:19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</row>
    <row r="587" spans="1:19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</row>
    <row r="588" spans="1:19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</row>
    <row r="589" spans="1:19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</row>
    <row r="590" spans="1:19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</row>
    <row r="591" spans="1:19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</row>
    <row r="592" spans="1:19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</row>
    <row r="593" spans="1:19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</row>
    <row r="594" spans="1:19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</row>
    <row r="595" spans="1:19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</row>
    <row r="596" spans="1:19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</row>
    <row r="597" spans="1:19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</row>
    <row r="598" spans="1:19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</row>
    <row r="599" spans="1:19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</row>
    <row r="600" spans="1:19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</row>
    <row r="601" spans="1:19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</row>
    <row r="602" spans="1:19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</row>
    <row r="603" spans="1:19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</row>
    <row r="604" spans="1:19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</row>
    <row r="605" spans="1:19">
      <c r="A605" s="23"/>
      <c r="B605" s="23"/>
      <c r="C605" s="23"/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</row>
    <row r="606" spans="1:19">
      <c r="A606" s="23"/>
      <c r="B606" s="23"/>
      <c r="C606" s="23"/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</row>
    <row r="607" spans="1:19">
      <c r="A607" s="23"/>
      <c r="B607" s="23"/>
      <c r="C607" s="23"/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</row>
    <row r="608" spans="1:19">
      <c r="A608" s="23"/>
      <c r="B608" s="23"/>
      <c r="C608" s="23"/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</row>
    <row r="609" spans="1:19">
      <c r="A609" s="23"/>
      <c r="B609" s="23"/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</row>
    <row r="610" spans="1:19">
      <c r="A610" s="23"/>
      <c r="B610" s="23"/>
      <c r="C610" s="23"/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</row>
    <row r="611" spans="1:19">
      <c r="A611" s="23"/>
      <c r="B611" s="23"/>
      <c r="C611" s="23"/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</row>
    <row r="612" spans="1:19">
      <c r="A612" s="23"/>
      <c r="B612" s="23"/>
      <c r="C612" s="23"/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</row>
    <row r="613" spans="1:19">
      <c r="A613" s="23"/>
      <c r="B613" s="23"/>
      <c r="C613" s="23"/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</row>
    <row r="614" spans="1:19">
      <c r="A614" s="23"/>
      <c r="B614" s="23"/>
      <c r="C614" s="23"/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</row>
    <row r="615" spans="1:19">
      <c r="A615" s="23"/>
      <c r="B615" s="23"/>
      <c r="C615" s="23"/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</row>
    <row r="616" spans="1:19">
      <c r="A616" s="23"/>
      <c r="B616" s="23"/>
      <c r="C616" s="23"/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</row>
    <row r="617" spans="1:19">
      <c r="A617" s="23"/>
      <c r="B617" s="23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</row>
    <row r="618" spans="1:19">
      <c r="A618" s="23"/>
      <c r="B618" s="23"/>
      <c r="C618" s="23"/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</row>
    <row r="619" spans="1:19">
      <c r="A619" s="23"/>
      <c r="B619" s="23"/>
      <c r="C619" s="23"/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</row>
    <row r="620" spans="1:19">
      <c r="A620" s="23"/>
      <c r="B620" s="23"/>
      <c r="C620" s="23"/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</row>
    <row r="621" spans="1:19">
      <c r="A621" s="23"/>
      <c r="B621" s="23"/>
      <c r="C621" s="23"/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</row>
    <row r="622" spans="1:19">
      <c r="A622" s="23"/>
      <c r="B622" s="23"/>
      <c r="C622" s="23"/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</row>
    <row r="623" spans="1:19">
      <c r="A623" s="23"/>
      <c r="B623" s="23"/>
      <c r="C623" s="23"/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</row>
    <row r="624" spans="1:19">
      <c r="A624" s="23"/>
      <c r="B624" s="23"/>
      <c r="C624" s="23"/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</row>
    <row r="625" spans="1:19">
      <c r="A625" s="23"/>
      <c r="B625" s="23"/>
      <c r="C625" s="23"/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</row>
    <row r="626" spans="1:19">
      <c r="A626" s="23"/>
      <c r="B626" s="23"/>
      <c r="C626" s="23"/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</row>
    <row r="627" spans="1:19">
      <c r="A627" s="23"/>
      <c r="B627" s="23"/>
      <c r="C627" s="23"/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</row>
    <row r="628" spans="1:19">
      <c r="A628" s="23"/>
      <c r="B628" s="23"/>
      <c r="C628" s="23"/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</row>
    <row r="629" spans="1:19">
      <c r="A629" s="23"/>
      <c r="B629" s="23"/>
      <c r="C629" s="23"/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</row>
    <row r="630" spans="1:19">
      <c r="A630" s="23"/>
      <c r="B630" s="23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</row>
    <row r="631" spans="1:19">
      <c r="A631" s="23"/>
      <c r="B631" s="23"/>
      <c r="C631" s="23"/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</row>
    <row r="632" spans="1:19">
      <c r="A632" s="23"/>
      <c r="B632" s="23"/>
      <c r="C632" s="23"/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</row>
    <row r="633" spans="1:19">
      <c r="A633" s="23"/>
      <c r="B633" s="23"/>
      <c r="C633" s="23"/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</row>
    <row r="634" spans="1:19">
      <c r="A634" s="23"/>
      <c r="B634" s="23"/>
      <c r="C634" s="23"/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</row>
    <row r="635" spans="1:19">
      <c r="A635" s="23"/>
      <c r="B635" s="23"/>
      <c r="C635" s="23"/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</row>
    <row r="636" spans="1:19">
      <c r="A636" s="23"/>
      <c r="B636" s="23"/>
      <c r="C636" s="23"/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</row>
    <row r="637" spans="1:19">
      <c r="A637" s="23"/>
      <c r="B637" s="23"/>
      <c r="C637" s="23"/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</row>
    <row r="638" spans="1:19">
      <c r="A638" s="23"/>
      <c r="B638" s="23"/>
      <c r="C638" s="23"/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</row>
    <row r="639" spans="1:19">
      <c r="A639" s="23"/>
      <c r="B639" s="23"/>
      <c r="C639" s="23"/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</row>
    <row r="640" spans="1:19">
      <c r="A640" s="23"/>
      <c r="B640" s="23"/>
      <c r="C640" s="23"/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</row>
    <row r="641" spans="1:19">
      <c r="A641" s="23"/>
      <c r="B641" s="23"/>
      <c r="C641" s="23"/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</row>
    <row r="642" spans="1:19">
      <c r="A642" s="23"/>
      <c r="B642" s="23"/>
      <c r="C642" s="23"/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</row>
    <row r="643" spans="1:19">
      <c r="A643" s="23"/>
      <c r="B643" s="23"/>
      <c r="C643" s="23"/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</row>
    <row r="644" spans="1:19">
      <c r="A644" s="23"/>
      <c r="B644" s="23"/>
      <c r="C644" s="23"/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</row>
    <row r="645" spans="1:19">
      <c r="A645" s="23"/>
      <c r="B645" s="23"/>
      <c r="C645" s="23"/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</row>
    <row r="646" spans="1:19">
      <c r="A646" s="23"/>
      <c r="B646" s="23"/>
      <c r="C646" s="23"/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</row>
    <row r="647" spans="1:19">
      <c r="A647" s="23"/>
      <c r="B647" s="23"/>
      <c r="C647" s="23"/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</row>
    <row r="648" spans="1:19">
      <c r="A648" s="23"/>
      <c r="B648" s="23"/>
      <c r="C648" s="23"/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</row>
    <row r="649" spans="1:19">
      <c r="A649" s="23"/>
      <c r="B649" s="23"/>
      <c r="C649" s="23"/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</row>
    <row r="650" spans="1:19">
      <c r="A650" s="23"/>
      <c r="B650" s="23"/>
      <c r="C650" s="23"/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</row>
    <row r="651" spans="1:19">
      <c r="A651" s="23"/>
      <c r="B651" s="23"/>
      <c r="C651" s="23"/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</row>
    <row r="652" spans="1:19">
      <c r="A652" s="23"/>
      <c r="B652" s="23"/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</row>
    <row r="653" spans="1:19">
      <c r="A653" s="23"/>
      <c r="B653" s="23"/>
      <c r="C653" s="23"/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</row>
    <row r="654" spans="1:19">
      <c r="A654" s="23"/>
      <c r="B654" s="23"/>
      <c r="C654" s="23"/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</row>
    <row r="655" spans="1:19">
      <c r="A655" s="23"/>
      <c r="B655" s="23"/>
      <c r="C655" s="23"/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</row>
    <row r="656" spans="1:19">
      <c r="A656" s="23"/>
      <c r="B656" s="23"/>
      <c r="C656" s="23"/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</row>
    <row r="657" spans="1:19">
      <c r="A657" s="23"/>
      <c r="B657" s="23"/>
      <c r="C657" s="23"/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</row>
    <row r="658" spans="1:19">
      <c r="A658" s="23"/>
      <c r="B658" s="23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</row>
    <row r="659" spans="1:19">
      <c r="A659" s="23"/>
      <c r="B659" s="23"/>
      <c r="C659" s="23"/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</row>
    <row r="660" spans="1:19">
      <c r="A660" s="23"/>
      <c r="B660" s="23"/>
      <c r="C660" s="23"/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</row>
    <row r="661" spans="1:19">
      <c r="A661" s="23"/>
      <c r="B661" s="23"/>
      <c r="C661" s="23"/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</row>
    <row r="662" spans="1:19">
      <c r="A662" s="23"/>
      <c r="B662" s="23"/>
      <c r="C662" s="23"/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</row>
    <row r="663" spans="1:19">
      <c r="A663" s="23"/>
      <c r="B663" s="23"/>
      <c r="C663" s="23"/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</row>
    <row r="664" spans="1:19">
      <c r="A664" s="23"/>
      <c r="B664" s="23"/>
      <c r="C664" s="23"/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</row>
    <row r="665" spans="1:19">
      <c r="A665" s="23"/>
      <c r="B665" s="23"/>
      <c r="C665" s="23"/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</row>
    <row r="666" spans="1:19">
      <c r="A666" s="23"/>
      <c r="B666" s="23"/>
      <c r="C666" s="23"/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</row>
    <row r="667" spans="1:19">
      <c r="A667" s="23"/>
      <c r="B667" s="23"/>
      <c r="C667" s="23"/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</row>
    <row r="668" spans="1:19">
      <c r="A668" s="23"/>
      <c r="B668" s="23"/>
      <c r="C668" s="23"/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</row>
    <row r="669" spans="1:19">
      <c r="A669" s="23"/>
      <c r="B669" s="23"/>
      <c r="C669" s="23"/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</row>
    <row r="670" spans="1:19">
      <c r="A670" s="23"/>
      <c r="B670" s="23"/>
      <c r="C670" s="23"/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</row>
    <row r="671" spans="1:19">
      <c r="A671" s="23"/>
      <c r="B671" s="23"/>
      <c r="C671" s="23"/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</row>
    <row r="672" spans="1:19">
      <c r="A672" s="23"/>
      <c r="B672" s="23"/>
      <c r="C672" s="23"/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</row>
    <row r="673" spans="1:19">
      <c r="A673" s="23"/>
      <c r="B673" s="23"/>
      <c r="C673" s="23"/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</row>
    <row r="674" spans="1:19">
      <c r="A674" s="23"/>
      <c r="B674" s="23"/>
      <c r="C674" s="23"/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</row>
    <row r="675" spans="1:19">
      <c r="A675" s="23"/>
      <c r="B675" s="23"/>
      <c r="C675" s="23"/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</row>
    <row r="676" spans="1:19">
      <c r="A676" s="23"/>
      <c r="B676" s="23"/>
      <c r="C676" s="23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</row>
    <row r="677" spans="1:19">
      <c r="A677" s="23"/>
      <c r="B677" s="23"/>
      <c r="C677" s="23"/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</row>
    <row r="678" spans="1:19">
      <c r="A678" s="23"/>
      <c r="B678" s="23"/>
      <c r="C678" s="23"/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</row>
    <row r="679" spans="1:19">
      <c r="A679" s="23"/>
      <c r="B679" s="23"/>
      <c r="C679" s="23"/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</row>
    <row r="680" spans="1:19">
      <c r="A680" s="23"/>
      <c r="B680" s="23"/>
      <c r="C680" s="23"/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</row>
    <row r="681" spans="1:19">
      <c r="A681" s="23"/>
      <c r="B681" s="23"/>
      <c r="C681" s="23"/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</row>
    <row r="682" spans="1:19">
      <c r="A682" s="23"/>
      <c r="B682" s="23"/>
      <c r="C682" s="23"/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</row>
    <row r="683" spans="1:19">
      <c r="A683" s="23"/>
      <c r="B683" s="23"/>
      <c r="C683" s="23"/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</row>
    <row r="684" spans="1:19">
      <c r="A684" s="23"/>
      <c r="B684" s="23"/>
      <c r="C684" s="23"/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</row>
    <row r="685" spans="1:19">
      <c r="A685" s="23"/>
      <c r="B685" s="23"/>
      <c r="C685" s="23"/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</row>
    <row r="686" spans="1:19">
      <c r="A686" s="23"/>
      <c r="B686" s="23"/>
      <c r="C686" s="23"/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</row>
    <row r="687" spans="1:19">
      <c r="A687" s="23"/>
      <c r="B687" s="23"/>
      <c r="C687" s="23"/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</row>
    <row r="688" spans="1:19">
      <c r="A688" s="23"/>
      <c r="B688" s="23"/>
      <c r="C688" s="23"/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</row>
    <row r="689" spans="1:19">
      <c r="A689" s="23"/>
      <c r="B689" s="23"/>
      <c r="C689" s="23"/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</row>
    <row r="690" spans="1:19">
      <c r="A690" s="23"/>
      <c r="B690" s="23"/>
      <c r="C690" s="23"/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</row>
    <row r="691" spans="1:19">
      <c r="A691" s="23"/>
      <c r="B691" s="23"/>
      <c r="C691" s="23"/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</row>
    <row r="692" spans="1:19">
      <c r="A692" s="23"/>
      <c r="B692" s="23"/>
      <c r="C692" s="23"/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</row>
    <row r="693" spans="1:19">
      <c r="A693" s="23"/>
      <c r="B693" s="23"/>
      <c r="C693" s="23"/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</row>
    <row r="694" spans="1:19">
      <c r="A694" s="23"/>
      <c r="B694" s="23"/>
      <c r="C694" s="23"/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</row>
    <row r="695" spans="1:19">
      <c r="A695" s="23"/>
      <c r="B695" s="23"/>
      <c r="C695" s="23"/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</row>
    <row r="696" spans="1:19">
      <c r="A696" s="23"/>
      <c r="B696" s="23"/>
      <c r="C696" s="23"/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</row>
    <row r="697" spans="1:19">
      <c r="A697" s="23"/>
      <c r="B697" s="23"/>
      <c r="C697" s="23"/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</row>
    <row r="698" spans="1:19">
      <c r="A698" s="23"/>
      <c r="B698" s="23"/>
      <c r="C698" s="23"/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</row>
    <row r="699" spans="1:19">
      <c r="A699" s="23"/>
      <c r="B699" s="23"/>
      <c r="C699" s="23"/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</row>
    <row r="700" spans="1:19">
      <c r="A700" s="23"/>
      <c r="B700" s="23"/>
      <c r="C700" s="23"/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</row>
    <row r="701" spans="1:19">
      <c r="A701" s="23"/>
      <c r="B701" s="23"/>
      <c r="C701" s="23"/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</row>
    <row r="702" spans="1:19">
      <c r="A702" s="23"/>
      <c r="B702" s="23"/>
      <c r="C702" s="23"/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</row>
    <row r="703" spans="1:19">
      <c r="A703" s="23"/>
      <c r="B703" s="23"/>
      <c r="C703" s="23"/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</row>
    <row r="704" spans="1:19">
      <c r="A704" s="23"/>
      <c r="B704" s="23"/>
      <c r="C704" s="23"/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</row>
    <row r="705" spans="1:19">
      <c r="A705" s="23"/>
      <c r="B705" s="23"/>
      <c r="C705" s="23"/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</row>
    <row r="706" spans="1:19">
      <c r="A706" s="23"/>
      <c r="B706" s="23"/>
      <c r="C706" s="23"/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</row>
    <row r="707" spans="1:19">
      <c r="A707" s="23"/>
      <c r="B707" s="23"/>
      <c r="C707" s="23"/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</row>
    <row r="708" spans="1:19">
      <c r="A708" s="23"/>
      <c r="B708" s="23"/>
      <c r="C708" s="23"/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</row>
    <row r="709" spans="1:19">
      <c r="A709" s="23"/>
      <c r="B709" s="23"/>
      <c r="C709" s="23"/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</row>
    <row r="710" spans="1:19">
      <c r="A710" s="23"/>
      <c r="B710" s="23"/>
      <c r="C710" s="23"/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</row>
    <row r="711" spans="1:19">
      <c r="A711" s="23"/>
      <c r="B711" s="23"/>
      <c r="C711" s="23"/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</row>
    <row r="712" spans="1:19">
      <c r="A712" s="23"/>
      <c r="B712" s="23"/>
      <c r="C712" s="23"/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</row>
    <row r="713" spans="1:19">
      <c r="A713" s="23"/>
      <c r="B713" s="23"/>
      <c r="C713" s="23"/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</row>
    <row r="714" spans="1:19">
      <c r="A714" s="23"/>
      <c r="B714" s="23"/>
      <c r="C714" s="23"/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</row>
    <row r="715" spans="1:19">
      <c r="A715" s="23"/>
      <c r="B715" s="23"/>
      <c r="C715" s="23"/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</row>
    <row r="716" spans="1:19">
      <c r="A716" s="23"/>
      <c r="B716" s="23"/>
      <c r="C716" s="23"/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</row>
    <row r="717" spans="1:19">
      <c r="A717" s="23"/>
      <c r="B717" s="23"/>
      <c r="C717" s="23"/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</row>
    <row r="718" spans="1:19">
      <c r="A718" s="23"/>
      <c r="B718" s="23"/>
      <c r="C718" s="23"/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</row>
    <row r="719" spans="1:19">
      <c r="A719" s="23"/>
      <c r="B719" s="23"/>
      <c r="C719" s="23"/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</row>
    <row r="720" spans="1:19">
      <c r="A720" s="23"/>
      <c r="B720" s="23"/>
      <c r="C720" s="23"/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</row>
    <row r="721" spans="1:19">
      <c r="A721" s="23"/>
      <c r="B721" s="23"/>
      <c r="C721" s="23"/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</row>
    <row r="722" spans="1:19">
      <c r="A722" s="23"/>
      <c r="B722" s="23"/>
      <c r="C722" s="23"/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</row>
    <row r="723" spans="1:19">
      <c r="A723" s="23"/>
      <c r="B723" s="23"/>
      <c r="C723" s="23"/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</row>
    <row r="724" spans="1:19">
      <c r="A724" s="23"/>
      <c r="B724" s="23"/>
      <c r="C724" s="23"/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</row>
    <row r="725" spans="1:19">
      <c r="A725" s="23"/>
      <c r="B725" s="23"/>
      <c r="C725" s="23"/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</row>
    <row r="726" spans="1:19">
      <c r="A726" s="23"/>
      <c r="B726" s="23"/>
      <c r="C726" s="23"/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</row>
    <row r="727" spans="1:19">
      <c r="A727" s="23"/>
      <c r="B727" s="23"/>
      <c r="C727" s="23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</row>
    <row r="728" spans="1:19">
      <c r="A728" s="23"/>
      <c r="B728" s="23"/>
      <c r="C728" s="23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</row>
    <row r="729" spans="1:19">
      <c r="A729" s="23"/>
      <c r="B729" s="23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</row>
    <row r="730" spans="1:19">
      <c r="A730" s="23"/>
      <c r="B730" s="23"/>
      <c r="C730" s="23"/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</row>
    <row r="731" spans="1:19">
      <c r="A731" s="23"/>
      <c r="B731" s="23"/>
      <c r="C731" s="23"/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</row>
    <row r="732" spans="1:19">
      <c r="A732" s="23"/>
      <c r="B732" s="23"/>
      <c r="C732" s="23"/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</row>
    <row r="733" spans="1:19">
      <c r="A733" s="23"/>
      <c r="B733" s="23"/>
      <c r="C733" s="23"/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</row>
    <row r="734" spans="1:19">
      <c r="A734" s="23"/>
      <c r="B734" s="23"/>
      <c r="C734" s="23"/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</row>
    <row r="735" spans="1:19">
      <c r="A735" s="23"/>
      <c r="B735" s="23"/>
      <c r="C735" s="23"/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</row>
    <row r="736" spans="1:19">
      <c r="A736" s="23"/>
      <c r="B736" s="23"/>
      <c r="C736" s="23"/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</row>
    <row r="737" spans="1:19">
      <c r="A737" s="23"/>
      <c r="B737" s="23"/>
      <c r="C737" s="23"/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</row>
    <row r="738" spans="1:19">
      <c r="A738" s="23"/>
      <c r="B738" s="23"/>
      <c r="C738" s="23"/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</row>
    <row r="739" spans="1:19">
      <c r="A739" s="23"/>
      <c r="B739" s="23"/>
      <c r="C739" s="23"/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</row>
    <row r="740" spans="1:19">
      <c r="A740" s="23"/>
      <c r="B740" s="23"/>
      <c r="C740" s="23"/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</row>
    <row r="741" spans="1:19">
      <c r="A741" s="23"/>
      <c r="B741" s="23"/>
      <c r="C741" s="23"/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</row>
    <row r="742" spans="1:19">
      <c r="A742" s="23"/>
      <c r="B742" s="23"/>
      <c r="C742" s="23"/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</row>
    <row r="743" spans="1:19">
      <c r="A743" s="23"/>
      <c r="B743" s="23"/>
      <c r="C743" s="23"/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</row>
    <row r="744" spans="1:19">
      <c r="A744" s="23"/>
      <c r="B744" s="23"/>
      <c r="C744" s="23"/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</row>
    <row r="745" spans="1:19">
      <c r="A745" s="23"/>
      <c r="B745" s="23"/>
      <c r="C745" s="23"/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</row>
    <row r="746" spans="1:19">
      <c r="A746" s="23"/>
      <c r="B746" s="23"/>
      <c r="C746" s="23"/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</row>
    <row r="747" spans="1:19">
      <c r="A747" s="23"/>
      <c r="B747" s="23"/>
      <c r="C747" s="23"/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</row>
    <row r="748" spans="1:19">
      <c r="A748" s="23"/>
      <c r="B748" s="23"/>
      <c r="C748" s="23"/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</row>
    <row r="749" spans="1:19">
      <c r="A749" s="23"/>
      <c r="B749" s="23"/>
      <c r="C749" s="23"/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</row>
    <row r="750" spans="1:19">
      <c r="A750" s="23"/>
      <c r="B750" s="23"/>
      <c r="C750" s="23"/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</row>
    <row r="751" spans="1:19">
      <c r="A751" s="23"/>
      <c r="B751" s="23"/>
      <c r="C751" s="23"/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</row>
    <row r="752" spans="1:19">
      <c r="A752" s="23"/>
      <c r="B752" s="23"/>
      <c r="C752" s="23"/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</row>
    <row r="753" spans="1:19">
      <c r="A753" s="23"/>
      <c r="B753" s="23"/>
      <c r="C753" s="23"/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</row>
    <row r="754" spans="1:19">
      <c r="A754" s="23"/>
      <c r="B754" s="23"/>
      <c r="C754" s="23"/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</row>
    <row r="755" spans="1:19">
      <c r="A755" s="23"/>
      <c r="B755" s="23"/>
      <c r="C755" s="23"/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</row>
    <row r="756" spans="1:19">
      <c r="A756" s="23"/>
      <c r="B756" s="23"/>
      <c r="C756" s="23"/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</row>
    <row r="757" spans="1:19">
      <c r="A757" s="23"/>
      <c r="B757" s="23"/>
      <c r="C757" s="23"/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</row>
    <row r="758" spans="1:19">
      <c r="A758" s="23"/>
      <c r="B758" s="23"/>
      <c r="C758" s="23"/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</row>
    <row r="759" spans="1:19">
      <c r="A759" s="23"/>
      <c r="B759" s="23"/>
      <c r="C759" s="23"/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</row>
    <row r="760" spans="1:19">
      <c r="A760" s="23"/>
      <c r="B760" s="23"/>
      <c r="C760" s="23"/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</row>
    <row r="761" spans="1:19">
      <c r="A761" s="23"/>
      <c r="B761" s="23"/>
      <c r="C761" s="23"/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</row>
    <row r="762" spans="1:19">
      <c r="A762" s="23"/>
      <c r="B762" s="23"/>
      <c r="C762" s="23"/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</row>
    <row r="763" spans="1:19">
      <c r="A763" s="23"/>
      <c r="B763" s="23"/>
      <c r="C763" s="23"/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</row>
    <row r="764" spans="1:19">
      <c r="A764" s="23"/>
      <c r="B764" s="23"/>
      <c r="C764" s="23"/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</row>
    <row r="765" spans="1:19">
      <c r="A765" s="23"/>
      <c r="B765" s="23"/>
      <c r="C765" s="23"/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</row>
    <row r="766" spans="1:19">
      <c r="A766" s="23"/>
      <c r="B766" s="23"/>
      <c r="C766" s="23"/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</row>
    <row r="767" spans="1:19">
      <c r="A767" s="23"/>
      <c r="B767" s="23"/>
      <c r="C767" s="23"/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</row>
    <row r="768" spans="1:19">
      <c r="A768" s="23"/>
      <c r="B768" s="23"/>
      <c r="C768" s="23"/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</row>
    <row r="769" spans="1:19">
      <c r="A769" s="23"/>
      <c r="B769" s="23"/>
      <c r="C769" s="23"/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</row>
    <row r="770" spans="1:19">
      <c r="A770" s="23"/>
      <c r="B770" s="23"/>
      <c r="C770" s="23"/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</row>
    <row r="771" spans="1:19">
      <c r="A771" s="23"/>
      <c r="B771" s="23"/>
      <c r="C771" s="23"/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</row>
    <row r="772" spans="1:19">
      <c r="A772" s="23"/>
      <c r="B772" s="23"/>
      <c r="C772" s="23"/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</row>
    <row r="773" spans="1:19">
      <c r="A773" s="23"/>
      <c r="B773" s="23"/>
      <c r="C773" s="23"/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</row>
    <row r="774" spans="1:19">
      <c r="A774" s="23"/>
      <c r="B774" s="23"/>
      <c r="C774" s="23"/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</row>
    <row r="775" spans="1:19">
      <c r="A775" s="23"/>
      <c r="B775" s="23"/>
      <c r="C775" s="23"/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</row>
    <row r="776" spans="1:19">
      <c r="A776" s="23"/>
      <c r="B776" s="23"/>
      <c r="C776" s="23"/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</row>
    <row r="777" spans="1:19">
      <c r="A777" s="23"/>
      <c r="B777" s="23"/>
      <c r="C777" s="23"/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</row>
    <row r="778" spans="1:19">
      <c r="A778" s="23"/>
      <c r="B778" s="23"/>
      <c r="C778" s="23"/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</row>
    <row r="779" spans="1:19">
      <c r="A779" s="23"/>
      <c r="B779" s="23"/>
      <c r="C779" s="23"/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</row>
    <row r="780" spans="1:19">
      <c r="A780" s="23"/>
      <c r="B780" s="23"/>
      <c r="C780" s="23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</row>
    <row r="781" spans="1:19">
      <c r="A781" s="23"/>
      <c r="B781" s="23"/>
      <c r="C781" s="23"/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</row>
    <row r="782" spans="1:19">
      <c r="A782" s="23"/>
      <c r="B782" s="23"/>
      <c r="C782" s="23"/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</row>
    <row r="783" spans="1:19">
      <c r="A783" s="23"/>
      <c r="B783" s="23"/>
      <c r="C783" s="23"/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</row>
    <row r="784" spans="1:19">
      <c r="A784" s="23"/>
      <c r="B784" s="23"/>
      <c r="C784" s="23"/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</row>
    <row r="785" spans="1:19">
      <c r="A785" s="23"/>
      <c r="B785" s="23"/>
      <c r="C785" s="23"/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</row>
    <row r="786" spans="1:19">
      <c r="A786" s="23"/>
      <c r="B786" s="23"/>
      <c r="C786" s="23"/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</row>
    <row r="787" spans="1:19">
      <c r="A787" s="23"/>
      <c r="B787" s="23"/>
      <c r="C787" s="23"/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</row>
    <row r="788" spans="1:19">
      <c r="A788" s="23"/>
      <c r="B788" s="23"/>
      <c r="C788" s="23"/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</row>
    <row r="789" spans="1:19">
      <c r="A789" s="23"/>
      <c r="B789" s="23"/>
      <c r="C789" s="23"/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</row>
    <row r="790" spans="1:19">
      <c r="A790" s="23"/>
      <c r="B790" s="23"/>
      <c r="C790" s="23"/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</row>
    <row r="791" spans="1:19">
      <c r="A791" s="23"/>
      <c r="B791" s="23"/>
      <c r="C791" s="23"/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</row>
    <row r="792" spans="1:19">
      <c r="A792" s="23"/>
      <c r="B792" s="23"/>
      <c r="C792" s="23"/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</row>
    <row r="793" spans="1:19">
      <c r="A793" s="23"/>
      <c r="B793" s="23"/>
      <c r="C793" s="23"/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</row>
    <row r="794" spans="1:19">
      <c r="A794" s="23"/>
      <c r="B794" s="23"/>
      <c r="C794" s="23"/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</row>
    <row r="795" spans="1:19">
      <c r="A795" s="23"/>
      <c r="B795" s="23"/>
      <c r="C795" s="23"/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</row>
    <row r="796" spans="1:19">
      <c r="A796" s="23"/>
      <c r="B796" s="23"/>
      <c r="C796" s="23"/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</row>
    <row r="797" spans="1:19">
      <c r="A797" s="23"/>
      <c r="B797" s="23"/>
      <c r="C797" s="23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</row>
    <row r="798" spans="1:19">
      <c r="A798" s="23"/>
      <c r="B798" s="23"/>
      <c r="C798" s="23"/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</row>
    <row r="799" spans="1:19">
      <c r="A799" s="23"/>
      <c r="B799" s="23"/>
      <c r="C799" s="23"/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</row>
    <row r="800" spans="1:19">
      <c r="A800" s="23"/>
      <c r="B800" s="23"/>
      <c r="C800" s="23"/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</row>
    <row r="801" spans="1:19">
      <c r="A801" s="23"/>
      <c r="B801" s="23"/>
      <c r="C801" s="23"/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</row>
    <row r="802" spans="1:19">
      <c r="A802" s="23"/>
      <c r="B802" s="23"/>
      <c r="C802" s="23"/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</row>
    <row r="803" spans="1:19">
      <c r="A803" s="23"/>
      <c r="B803" s="23"/>
      <c r="C803" s="23"/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</row>
    <row r="804" spans="1:19">
      <c r="A804" s="23"/>
      <c r="B804" s="23"/>
      <c r="C804" s="23"/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</row>
    <row r="805" spans="1:19">
      <c r="A805" s="23"/>
      <c r="B805" s="23"/>
      <c r="C805" s="23"/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</row>
    <row r="806" spans="1:19">
      <c r="A806" s="23"/>
      <c r="B806" s="23"/>
      <c r="C806" s="23"/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</row>
    <row r="807" spans="1:19">
      <c r="A807" s="23"/>
      <c r="B807" s="23"/>
      <c r="C807" s="23"/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</row>
    <row r="808" spans="1:19">
      <c r="A808" s="23"/>
      <c r="B808" s="23"/>
      <c r="C808" s="23"/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</row>
    <row r="809" spans="1:19">
      <c r="A809" s="23"/>
      <c r="B809" s="23"/>
      <c r="C809" s="23"/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</row>
    <row r="810" spans="1:19">
      <c r="A810" s="23"/>
      <c r="B810" s="23"/>
      <c r="C810" s="23"/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</row>
    <row r="811" spans="1:19">
      <c r="A811" s="23"/>
      <c r="B811" s="23"/>
      <c r="C811" s="23"/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</row>
    <row r="812" spans="1:19">
      <c r="A812" s="23"/>
      <c r="B812" s="23"/>
      <c r="C812" s="23"/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</row>
    <row r="813" spans="1:19">
      <c r="A813" s="23"/>
      <c r="B813" s="23"/>
      <c r="C813" s="23"/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</row>
    <row r="814" spans="1:19">
      <c r="A814" s="23"/>
      <c r="B814" s="23"/>
      <c r="C814" s="23"/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</row>
    <row r="815" spans="1:19">
      <c r="A815" s="23"/>
      <c r="B815" s="23"/>
      <c r="C815" s="23"/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</row>
    <row r="816" spans="1:19">
      <c r="A816" s="23"/>
      <c r="B816" s="23"/>
      <c r="C816" s="23"/>
      <c r="D816" s="23"/>
      <c r="E816" s="23"/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</row>
    <row r="817" spans="1:19">
      <c r="A817" s="23"/>
      <c r="B817" s="23"/>
      <c r="C817" s="23"/>
      <c r="D817" s="23"/>
      <c r="E817" s="23"/>
      <c r="F817" s="23"/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</row>
    <row r="818" spans="1:19">
      <c r="A818" s="23"/>
      <c r="B818" s="23"/>
      <c r="C818" s="23"/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</row>
    <row r="819" spans="1:19">
      <c r="A819" s="23"/>
      <c r="B819" s="23"/>
      <c r="C819" s="23"/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</row>
    <row r="820" spans="1:19">
      <c r="A820" s="23"/>
      <c r="B820" s="23"/>
      <c r="C820" s="23"/>
      <c r="D820" s="23"/>
      <c r="E820" s="23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</row>
    <row r="821" spans="1:19">
      <c r="A821" s="23"/>
      <c r="B821" s="23"/>
      <c r="C821" s="23"/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</row>
    <row r="822" spans="1:19">
      <c r="A822" s="23"/>
      <c r="B822" s="23"/>
      <c r="C822" s="23"/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</row>
    <row r="823" spans="1:19">
      <c r="A823" s="23"/>
      <c r="B823" s="23"/>
      <c r="C823" s="23"/>
      <c r="D823" s="23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</row>
    <row r="824" spans="1:19">
      <c r="A824" s="23"/>
      <c r="B824" s="23"/>
      <c r="C824" s="23"/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</row>
    <row r="825" spans="1:19">
      <c r="A825" s="23"/>
      <c r="B825" s="23"/>
      <c r="C825" s="23"/>
      <c r="D825" s="23"/>
      <c r="E825" s="23"/>
      <c r="F825" s="23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</row>
    <row r="826" spans="1:19">
      <c r="A826" s="23"/>
      <c r="B826" s="23"/>
      <c r="C826" s="23"/>
      <c r="D826" s="23"/>
      <c r="E826" s="23"/>
      <c r="F826" s="23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</row>
    <row r="827" spans="1:19">
      <c r="A827" s="23"/>
      <c r="B827" s="23"/>
      <c r="C827" s="23"/>
      <c r="D827" s="23"/>
      <c r="E827" s="23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</row>
    <row r="828" spans="1:19">
      <c r="A828" s="23"/>
      <c r="B828" s="23"/>
      <c r="C828" s="23"/>
      <c r="D828" s="23"/>
      <c r="E828" s="23"/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</row>
    <row r="829" spans="1:19">
      <c r="A829" s="23"/>
      <c r="B829" s="23"/>
      <c r="C829" s="23"/>
      <c r="D829" s="23"/>
      <c r="E829" s="23"/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</row>
    <row r="830" spans="1:19">
      <c r="A830" s="23"/>
      <c r="B830" s="23"/>
      <c r="C830" s="23"/>
      <c r="D830" s="23"/>
      <c r="E830" s="23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</row>
    <row r="831" spans="1:19">
      <c r="A831" s="23"/>
      <c r="B831" s="23"/>
      <c r="C831" s="23"/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</row>
    <row r="832" spans="1:19">
      <c r="A832" s="23"/>
      <c r="B832" s="23"/>
      <c r="C832" s="23"/>
      <c r="D832" s="23"/>
      <c r="E832" s="23"/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</row>
    <row r="833" spans="1:19">
      <c r="A833" s="23"/>
      <c r="B833" s="23"/>
      <c r="C833" s="23"/>
      <c r="D833" s="23"/>
      <c r="E833" s="23"/>
      <c r="F833" s="23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</row>
    <row r="834" spans="1:19">
      <c r="A834" s="23"/>
      <c r="B834" s="23"/>
      <c r="C834" s="23"/>
      <c r="D834" s="23"/>
      <c r="E834" s="23"/>
      <c r="F834" s="23"/>
      <c r="G834" s="23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</row>
    <row r="835" spans="1:19">
      <c r="A835" s="23"/>
      <c r="B835" s="23"/>
      <c r="C835" s="23"/>
      <c r="D835" s="23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</row>
    <row r="836" spans="1:19">
      <c r="A836" s="23"/>
      <c r="B836" s="23"/>
      <c r="C836" s="23"/>
      <c r="D836" s="23"/>
      <c r="E836" s="23"/>
      <c r="F836" s="23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</row>
    <row r="837" spans="1:19">
      <c r="A837" s="23"/>
      <c r="B837" s="23"/>
      <c r="C837" s="23"/>
      <c r="D837" s="23"/>
      <c r="E837" s="23"/>
      <c r="F837" s="23"/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</row>
    <row r="838" spans="1:19">
      <c r="A838" s="23"/>
      <c r="B838" s="23"/>
      <c r="C838" s="23"/>
      <c r="D838" s="23"/>
      <c r="E838" s="23"/>
      <c r="F838" s="23"/>
      <c r="G838" s="23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</row>
    <row r="839" spans="1:19">
      <c r="A839" s="23"/>
      <c r="B839" s="23"/>
      <c r="C839" s="23"/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</row>
    <row r="840" spans="1:19">
      <c r="A840" s="23"/>
      <c r="B840" s="23"/>
      <c r="C840" s="23"/>
      <c r="D840" s="23"/>
      <c r="E840" s="23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</row>
    <row r="841" spans="1:19">
      <c r="A841" s="23"/>
      <c r="B841" s="23"/>
      <c r="C841" s="23"/>
      <c r="D841" s="23"/>
      <c r="E841" s="23"/>
      <c r="F841" s="23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</row>
    <row r="842" spans="1:19">
      <c r="A842" s="23"/>
      <c r="B842" s="23"/>
      <c r="C842" s="23"/>
      <c r="D842" s="23"/>
      <c r="E842" s="23"/>
      <c r="F842" s="23"/>
      <c r="G842" s="23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</row>
    <row r="843" spans="1:19">
      <c r="A843" s="23"/>
      <c r="B843" s="23"/>
      <c r="C843" s="23"/>
      <c r="D843" s="23"/>
      <c r="E843" s="23"/>
      <c r="F843" s="23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</row>
    <row r="844" spans="1:19">
      <c r="A844" s="23"/>
      <c r="B844" s="23"/>
      <c r="C844" s="23"/>
      <c r="D844" s="23"/>
      <c r="E844" s="23"/>
      <c r="F844" s="23"/>
      <c r="G844" s="23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</row>
    <row r="845" spans="1:19">
      <c r="A845" s="23"/>
      <c r="B845" s="23"/>
      <c r="C845" s="23"/>
      <c r="D845" s="23"/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</row>
    <row r="846" spans="1:19">
      <c r="A846" s="23"/>
      <c r="B846" s="23"/>
      <c r="C846" s="23"/>
      <c r="D846" s="23"/>
      <c r="E846" s="23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</row>
    <row r="847" spans="1:19">
      <c r="A847" s="23"/>
      <c r="B847" s="23"/>
      <c r="C847" s="23"/>
      <c r="D847" s="23"/>
      <c r="E847" s="23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</row>
    <row r="848" spans="1:19">
      <c r="A848" s="23"/>
      <c r="B848" s="23"/>
      <c r="C848" s="23"/>
      <c r="D848" s="23"/>
      <c r="E848" s="23"/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</row>
    <row r="849" spans="1:19">
      <c r="A849" s="23"/>
      <c r="B849" s="23"/>
      <c r="C849" s="23"/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</row>
    <row r="850" spans="1:19">
      <c r="A850" s="23"/>
      <c r="B850" s="23"/>
      <c r="C850" s="23"/>
      <c r="D850" s="23"/>
      <c r="E850" s="23"/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</row>
    <row r="851" spans="1:19">
      <c r="A851" s="23"/>
      <c r="B851" s="23"/>
      <c r="C851" s="23"/>
      <c r="D851" s="23"/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</row>
    <row r="852" spans="1:19">
      <c r="A852" s="23"/>
      <c r="B852" s="23"/>
      <c r="C852" s="23"/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</row>
    <row r="853" spans="1:19">
      <c r="A853" s="23"/>
      <c r="B853" s="23"/>
      <c r="C853" s="23"/>
      <c r="D853" s="23"/>
      <c r="E853" s="23"/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</row>
    <row r="854" spans="1:19">
      <c r="A854" s="23"/>
      <c r="B854" s="23"/>
      <c r="C854" s="23"/>
      <c r="D854" s="23"/>
      <c r="E854" s="23"/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</row>
    <row r="855" spans="1:19">
      <c r="A855" s="23"/>
      <c r="B855" s="23"/>
      <c r="C855" s="23"/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</row>
    <row r="856" spans="1:19">
      <c r="A856" s="23"/>
      <c r="B856" s="23"/>
      <c r="C856" s="23"/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</row>
    <row r="857" spans="1:19">
      <c r="A857" s="23"/>
      <c r="B857" s="23"/>
      <c r="C857" s="23"/>
      <c r="D857" s="23"/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</row>
    <row r="858" spans="1:19">
      <c r="A858" s="23"/>
      <c r="B858" s="23"/>
      <c r="C858" s="23"/>
      <c r="D858" s="23"/>
      <c r="E858" s="23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</row>
    <row r="859" spans="1:19">
      <c r="A859" s="23"/>
      <c r="B859" s="23"/>
      <c r="C859" s="23"/>
      <c r="D859" s="23"/>
      <c r="E859" s="23"/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</row>
    <row r="860" spans="1:19">
      <c r="A860" s="23"/>
      <c r="B860" s="23"/>
      <c r="C860" s="23"/>
      <c r="D860" s="23"/>
      <c r="E860" s="23"/>
      <c r="F860" s="23"/>
      <c r="G860" s="23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</row>
    <row r="861" spans="1:19">
      <c r="A861" s="23"/>
      <c r="B861" s="23"/>
      <c r="C861" s="23"/>
      <c r="D861" s="23"/>
      <c r="E861" s="23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</row>
    <row r="862" spans="1:19">
      <c r="A862" s="23"/>
      <c r="B862" s="23"/>
      <c r="C862" s="23"/>
      <c r="D862" s="23"/>
      <c r="E862" s="23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</row>
    <row r="863" spans="1:19">
      <c r="A863" s="23"/>
      <c r="B863" s="23"/>
      <c r="C863" s="23"/>
      <c r="D863" s="23"/>
      <c r="E863" s="23"/>
      <c r="F863" s="23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</row>
    <row r="864" spans="1:19">
      <c r="A864" s="23"/>
      <c r="B864" s="23"/>
      <c r="C864" s="23"/>
      <c r="D864" s="23"/>
      <c r="E864" s="23"/>
      <c r="F864" s="23"/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</row>
    <row r="865" spans="1:19">
      <c r="A865" s="23"/>
      <c r="B865" s="23"/>
      <c r="C865" s="23"/>
      <c r="D865" s="23"/>
      <c r="E865" s="23"/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</row>
    <row r="866" spans="1:19">
      <c r="A866" s="23"/>
      <c r="B866" s="23"/>
      <c r="C866" s="23"/>
      <c r="D866" s="23"/>
      <c r="E866" s="23"/>
      <c r="F866" s="23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</row>
    <row r="867" spans="1:19">
      <c r="A867" s="23"/>
      <c r="B867" s="23"/>
      <c r="C867" s="23"/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</row>
    <row r="868" spans="1:19">
      <c r="A868" s="23"/>
      <c r="B868" s="23"/>
      <c r="C868" s="23"/>
      <c r="D868" s="23"/>
      <c r="E868" s="23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</row>
    <row r="869" spans="1:19">
      <c r="A869" s="23"/>
      <c r="B869" s="23"/>
      <c r="C869" s="23"/>
      <c r="D869" s="23"/>
      <c r="E869" s="23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</row>
    <row r="870" spans="1:19">
      <c r="A870" s="23"/>
      <c r="B870" s="23"/>
      <c r="C870" s="23"/>
      <c r="D870" s="23"/>
      <c r="E870" s="23"/>
      <c r="F870" s="23"/>
      <c r="G870" s="23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</row>
    <row r="871" spans="1:19">
      <c r="A871" s="23"/>
      <c r="B871" s="23"/>
      <c r="C871" s="23"/>
      <c r="D871" s="23"/>
      <c r="E871" s="23"/>
      <c r="F871" s="23"/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</row>
    <row r="872" spans="1:19">
      <c r="A872" s="23"/>
      <c r="B872" s="23"/>
      <c r="C872" s="23"/>
      <c r="D872" s="23"/>
      <c r="E872" s="23"/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</row>
    <row r="873" spans="1:19">
      <c r="A873" s="23"/>
      <c r="B873" s="23"/>
      <c r="C873" s="23"/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</row>
    <row r="874" spans="1:19">
      <c r="A874" s="23"/>
      <c r="B874" s="23"/>
      <c r="C874" s="23"/>
      <c r="D874" s="23"/>
      <c r="E874" s="23"/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</row>
    <row r="875" spans="1:19">
      <c r="A875" s="23"/>
      <c r="B875" s="23"/>
      <c r="C875" s="23"/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</row>
    <row r="876" spans="1:19">
      <c r="A876" s="23"/>
      <c r="B876" s="23"/>
      <c r="C876" s="23"/>
      <c r="D876" s="23"/>
      <c r="E876" s="23"/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</row>
    <row r="877" spans="1:19">
      <c r="A877" s="23"/>
      <c r="B877" s="23"/>
      <c r="C877" s="23"/>
      <c r="D877" s="23"/>
      <c r="E877" s="23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</row>
    <row r="878" spans="1:19">
      <c r="A878" s="23"/>
      <c r="B878" s="23"/>
      <c r="C878" s="23"/>
      <c r="D878" s="23"/>
      <c r="E878" s="23"/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</row>
    <row r="879" spans="1:19">
      <c r="A879" s="23"/>
      <c r="B879" s="23"/>
      <c r="C879" s="23"/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</row>
    <row r="880" spans="1:19">
      <c r="A880" s="23"/>
      <c r="B880" s="23"/>
      <c r="C880" s="23"/>
      <c r="D880" s="23"/>
      <c r="E880" s="23"/>
      <c r="F880" s="23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</row>
    <row r="881" spans="1:19">
      <c r="A881" s="23"/>
      <c r="B881" s="23"/>
      <c r="C881" s="23"/>
      <c r="D881" s="23"/>
      <c r="E881" s="23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</row>
    <row r="882" spans="1:19">
      <c r="A882" s="23"/>
      <c r="B882" s="23"/>
      <c r="C882" s="23"/>
      <c r="D882" s="23"/>
      <c r="E882" s="23"/>
      <c r="F882" s="23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</row>
    <row r="883" spans="1:19">
      <c r="A883" s="23"/>
      <c r="B883" s="23"/>
      <c r="C883" s="23"/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</row>
    <row r="884" spans="1:19">
      <c r="A884" s="23"/>
      <c r="B884" s="23"/>
      <c r="C884" s="23"/>
      <c r="D884" s="23"/>
      <c r="E884" s="23"/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</row>
    <row r="885" spans="1:19">
      <c r="A885" s="23"/>
      <c r="B885" s="23"/>
      <c r="C885" s="23"/>
      <c r="D885" s="23"/>
      <c r="E885" s="23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</row>
    <row r="886" spans="1:19">
      <c r="A886" s="23"/>
      <c r="B886" s="23"/>
      <c r="C886" s="23"/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</row>
    <row r="887" spans="1:19">
      <c r="A887" s="23"/>
      <c r="B887" s="23"/>
      <c r="C887" s="23"/>
      <c r="D887" s="23"/>
      <c r="E887" s="23"/>
      <c r="F887" s="23"/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</row>
    <row r="888" spans="1:19">
      <c r="A888" s="23"/>
      <c r="B888" s="23"/>
      <c r="C888" s="23"/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</row>
    <row r="889" spans="1:19">
      <c r="A889" s="23"/>
      <c r="B889" s="23"/>
      <c r="C889" s="23"/>
      <c r="D889" s="23"/>
      <c r="E889" s="23"/>
      <c r="F889" s="23"/>
      <c r="G889" s="23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</row>
    <row r="890" spans="1:19">
      <c r="A890" s="23"/>
      <c r="B890" s="23"/>
      <c r="C890" s="23"/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</row>
    <row r="891" spans="1:19">
      <c r="A891" s="23"/>
      <c r="B891" s="23"/>
      <c r="C891" s="23"/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</row>
    <row r="892" spans="1:19">
      <c r="A892" s="23"/>
      <c r="B892" s="23"/>
      <c r="C892" s="23"/>
      <c r="D892" s="23"/>
      <c r="E892" s="23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</row>
    <row r="893" spans="1:19">
      <c r="A893" s="23"/>
      <c r="B893" s="23"/>
      <c r="C893" s="23"/>
      <c r="D893" s="23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</row>
    <row r="894" spans="1:19">
      <c r="A894" s="23"/>
      <c r="B894" s="23"/>
      <c r="C894" s="23"/>
      <c r="D894" s="23"/>
      <c r="E894" s="23"/>
      <c r="F894" s="23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</row>
    <row r="895" spans="1:19">
      <c r="A895" s="23"/>
      <c r="B895" s="23"/>
      <c r="C895" s="23"/>
      <c r="D895" s="23"/>
      <c r="E895" s="23"/>
      <c r="F895" s="23"/>
      <c r="G895" s="23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</row>
    <row r="896" spans="1:19">
      <c r="A896" s="23"/>
      <c r="B896" s="23"/>
      <c r="C896" s="23"/>
      <c r="D896" s="23"/>
      <c r="E896" s="23"/>
      <c r="F896" s="23"/>
      <c r="G896" s="23"/>
      <c r="H896" s="23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</row>
    <row r="897" spans="1:19">
      <c r="A897" s="23"/>
      <c r="B897" s="23"/>
      <c r="C897" s="23"/>
      <c r="D897" s="23"/>
      <c r="E897" s="23"/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</row>
    <row r="898" spans="1:19">
      <c r="A898" s="23"/>
      <c r="B898" s="23"/>
      <c r="C898" s="23"/>
      <c r="D898" s="23"/>
      <c r="E898" s="23"/>
      <c r="F898" s="23"/>
      <c r="G898" s="23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</row>
    <row r="899" spans="1:19">
      <c r="A899" s="23"/>
      <c r="B899" s="23"/>
      <c r="C899" s="23"/>
      <c r="D899" s="23"/>
      <c r="E899" s="23"/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</row>
    <row r="900" spans="1:19">
      <c r="A900" s="23"/>
      <c r="B900" s="23"/>
      <c r="C900" s="23"/>
      <c r="D900" s="23"/>
      <c r="E900" s="23"/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</row>
    <row r="901" spans="1:19">
      <c r="A901" s="23"/>
      <c r="B901" s="23"/>
      <c r="C901" s="23"/>
      <c r="D901" s="23"/>
      <c r="E901" s="23"/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</row>
    <row r="902" spans="1:19">
      <c r="A902" s="23"/>
      <c r="B902" s="23"/>
      <c r="C902" s="23"/>
      <c r="D902" s="23"/>
      <c r="E902" s="23"/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</row>
    <row r="903" spans="1:19">
      <c r="A903" s="23"/>
      <c r="B903" s="23"/>
      <c r="C903" s="23"/>
      <c r="D903" s="23"/>
      <c r="E903" s="23"/>
      <c r="F903" s="23"/>
      <c r="G903" s="23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</row>
    <row r="904" spans="1:19">
      <c r="A904" s="23"/>
      <c r="B904" s="23"/>
      <c r="C904" s="23"/>
      <c r="D904" s="23"/>
      <c r="E904" s="23"/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</row>
    <row r="905" spans="1:19">
      <c r="A905" s="23"/>
      <c r="B905" s="23"/>
      <c r="C905" s="23"/>
      <c r="D905" s="23"/>
      <c r="E905" s="23"/>
      <c r="F905" s="23"/>
      <c r="G905" s="23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</row>
    <row r="906" spans="1:19">
      <c r="A906" s="23"/>
      <c r="B906" s="23"/>
      <c r="C906" s="23"/>
      <c r="D906" s="23"/>
      <c r="E906" s="23"/>
      <c r="F906" s="23"/>
      <c r="G906" s="23"/>
      <c r="H906" s="23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</row>
    <row r="907" spans="1:19">
      <c r="A907" s="23"/>
      <c r="B907" s="23"/>
      <c r="C907" s="23"/>
      <c r="D907" s="23"/>
      <c r="E907" s="23"/>
      <c r="F907" s="23"/>
      <c r="G907" s="23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</row>
    <row r="908" spans="1:19">
      <c r="A908" s="23"/>
      <c r="B908" s="23"/>
      <c r="C908" s="23"/>
      <c r="D908" s="23"/>
      <c r="E908" s="23"/>
      <c r="F908" s="23"/>
      <c r="G908" s="23"/>
      <c r="H908" s="23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</row>
    <row r="909" spans="1:19">
      <c r="A909" s="23"/>
      <c r="B909" s="23"/>
      <c r="C909" s="23"/>
      <c r="D909" s="23"/>
      <c r="E909" s="23"/>
      <c r="F909" s="23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</row>
    <row r="910" spans="1:19">
      <c r="A910" s="23"/>
      <c r="B910" s="23"/>
      <c r="C910" s="23"/>
      <c r="D910" s="23"/>
      <c r="E910" s="23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</row>
    <row r="911" spans="1:19">
      <c r="A911" s="23"/>
      <c r="B911" s="23"/>
      <c r="C911" s="23"/>
      <c r="D911" s="23"/>
      <c r="E911" s="23"/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</row>
    <row r="912" spans="1:19">
      <c r="A912" s="23"/>
      <c r="B912" s="23"/>
      <c r="C912" s="23"/>
      <c r="D912" s="23"/>
      <c r="E912" s="23"/>
      <c r="F912" s="23"/>
      <c r="G912" s="23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</row>
    <row r="913" spans="1:19">
      <c r="A913" s="23"/>
      <c r="B913" s="23"/>
      <c r="C913" s="23"/>
      <c r="D913" s="23"/>
      <c r="E913" s="23"/>
      <c r="F913" s="23"/>
      <c r="G913" s="23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</row>
    <row r="914" spans="1:19">
      <c r="A914" s="23"/>
      <c r="B914" s="23"/>
      <c r="C914" s="23"/>
      <c r="D914" s="23"/>
      <c r="E914" s="23"/>
      <c r="F914" s="23"/>
      <c r="G914" s="23"/>
      <c r="H914" s="23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</row>
    <row r="915" spans="1:19">
      <c r="A915" s="23"/>
      <c r="B915" s="23"/>
      <c r="C915" s="23"/>
      <c r="D915" s="23"/>
      <c r="E915" s="23"/>
      <c r="F915" s="23"/>
      <c r="G915" s="23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</row>
    <row r="916" spans="1:19">
      <c r="A916" s="23"/>
      <c r="B916" s="23"/>
      <c r="C916" s="23"/>
      <c r="D916" s="23"/>
      <c r="E916" s="23"/>
      <c r="F916" s="23"/>
      <c r="G916" s="23"/>
      <c r="H916" s="23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</row>
    <row r="917" spans="1:19">
      <c r="A917" s="23"/>
      <c r="B917" s="23"/>
      <c r="C917" s="23"/>
      <c r="D917" s="23"/>
      <c r="E917" s="23"/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</row>
    <row r="918" spans="1:19">
      <c r="A918" s="23"/>
      <c r="B918" s="23"/>
      <c r="C918" s="23"/>
      <c r="D918" s="23"/>
      <c r="E918" s="23"/>
      <c r="F918" s="23"/>
      <c r="G918" s="23"/>
      <c r="H918" s="23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</row>
    <row r="919" spans="1:19">
      <c r="A919" s="23"/>
      <c r="B919" s="23"/>
      <c r="C919" s="23"/>
      <c r="D919" s="23"/>
      <c r="E919" s="23"/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</row>
    <row r="920" spans="1:19">
      <c r="A920" s="23"/>
      <c r="B920" s="23"/>
      <c r="C920" s="23"/>
      <c r="D920" s="23"/>
      <c r="E920" s="23"/>
      <c r="F920" s="23"/>
      <c r="G920" s="23"/>
      <c r="H920" s="23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</row>
    <row r="921" spans="1:19">
      <c r="A921" s="23"/>
      <c r="B921" s="23"/>
      <c r="C921" s="23"/>
      <c r="D921" s="23"/>
      <c r="E921" s="23"/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</row>
    <row r="922" spans="1:19">
      <c r="A922" s="23"/>
      <c r="B922" s="23"/>
      <c r="C922" s="23"/>
      <c r="D922" s="23"/>
      <c r="E922" s="23"/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</row>
    <row r="923" spans="1:19">
      <c r="A923" s="23"/>
      <c r="B923" s="23"/>
      <c r="C923" s="23"/>
      <c r="D923" s="23"/>
      <c r="E923" s="23"/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</row>
    <row r="924" spans="1:19">
      <c r="A924" s="23"/>
      <c r="B924" s="23"/>
      <c r="C924" s="23"/>
      <c r="D924" s="23"/>
      <c r="E924" s="23"/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</row>
    <row r="925" spans="1:19">
      <c r="A925" s="23"/>
      <c r="B925" s="23"/>
      <c r="C925" s="23"/>
      <c r="D925" s="23"/>
      <c r="E925" s="23"/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</row>
    <row r="926" spans="1:19">
      <c r="A926" s="23"/>
      <c r="B926" s="23"/>
      <c r="C926" s="23"/>
      <c r="D926" s="23"/>
      <c r="E926" s="23"/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</row>
    <row r="927" spans="1:19">
      <c r="A927" s="23"/>
      <c r="B927" s="23"/>
      <c r="C927" s="23"/>
      <c r="D927" s="23"/>
      <c r="E927" s="23"/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</row>
    <row r="928" spans="1:19">
      <c r="A928" s="23"/>
      <c r="B928" s="23"/>
      <c r="C928" s="23"/>
      <c r="D928" s="23"/>
      <c r="E928" s="23"/>
      <c r="F928" s="23"/>
      <c r="G928" s="23"/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</row>
    <row r="929" spans="1:19">
      <c r="A929" s="23"/>
      <c r="B929" s="23"/>
      <c r="C929" s="23"/>
      <c r="D929" s="23"/>
      <c r="E929" s="23"/>
      <c r="F929" s="23"/>
      <c r="G929" s="23"/>
      <c r="H929" s="23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</row>
    <row r="930" spans="1:19">
      <c r="A930" s="23"/>
      <c r="B930" s="23"/>
      <c r="C930" s="23"/>
      <c r="D930" s="23"/>
      <c r="E930" s="23"/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</row>
    <row r="931" spans="1:19">
      <c r="A931" s="23"/>
      <c r="B931" s="23"/>
      <c r="C931" s="23"/>
      <c r="D931" s="23"/>
      <c r="E931" s="23"/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</row>
    <row r="932" spans="1:19">
      <c r="A932" s="23"/>
      <c r="B932" s="23"/>
      <c r="C932" s="23"/>
      <c r="D932" s="23"/>
      <c r="E932" s="23"/>
      <c r="F932" s="23"/>
      <c r="G932" s="23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</row>
    <row r="933" spans="1:19">
      <c r="A933" s="23"/>
      <c r="B933" s="23"/>
      <c r="C933" s="23"/>
      <c r="D933" s="23"/>
      <c r="E933" s="23"/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</row>
    <row r="934" spans="1:19">
      <c r="A934" s="23"/>
      <c r="B934" s="23"/>
      <c r="C934" s="23"/>
      <c r="D934" s="23"/>
      <c r="E934" s="23"/>
      <c r="F934" s="23"/>
      <c r="G934" s="23"/>
      <c r="H934" s="23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</row>
    <row r="935" spans="1:19">
      <c r="A935" s="23"/>
      <c r="B935" s="23"/>
      <c r="C935" s="23"/>
      <c r="D935" s="23"/>
      <c r="E935" s="23"/>
      <c r="F935" s="23"/>
      <c r="G935" s="23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</row>
    <row r="936" spans="1:19">
      <c r="A936" s="23"/>
      <c r="B936" s="23"/>
      <c r="C936" s="23"/>
      <c r="D936" s="23"/>
      <c r="E936" s="23"/>
      <c r="F936" s="23"/>
      <c r="G936" s="23"/>
      <c r="H936" s="23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</row>
    <row r="937" spans="1:19">
      <c r="A937" s="23"/>
      <c r="B937" s="23"/>
      <c r="C937" s="23"/>
      <c r="D937" s="23"/>
      <c r="E937" s="23"/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</row>
    <row r="938" spans="1:19">
      <c r="A938" s="23"/>
      <c r="B938" s="23"/>
      <c r="C938" s="23"/>
      <c r="D938" s="23"/>
      <c r="E938" s="23"/>
      <c r="F938" s="23"/>
      <c r="G938" s="23"/>
      <c r="H938" s="23"/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</row>
    <row r="939" spans="1:19">
      <c r="A939" s="23"/>
      <c r="B939" s="23"/>
      <c r="C939" s="23"/>
      <c r="D939" s="23"/>
      <c r="E939" s="23"/>
      <c r="F939" s="23"/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</row>
    <row r="940" spans="1:19">
      <c r="A940" s="23"/>
      <c r="B940" s="23"/>
      <c r="C940" s="23"/>
      <c r="D940" s="23"/>
      <c r="E940" s="23"/>
      <c r="F940" s="23"/>
      <c r="G940" s="23"/>
      <c r="H940" s="23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</row>
    <row r="941" spans="1:19">
      <c r="A941" s="23"/>
      <c r="B941" s="23"/>
      <c r="C941" s="23"/>
      <c r="D941" s="23"/>
      <c r="E941" s="23"/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</row>
    <row r="942" spans="1:19">
      <c r="A942" s="23"/>
      <c r="B942" s="23"/>
      <c r="C942" s="23"/>
      <c r="D942" s="23"/>
      <c r="E942" s="23"/>
      <c r="F942" s="23"/>
      <c r="G942" s="23"/>
      <c r="H942" s="23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</row>
    <row r="943" spans="1:19">
      <c r="A943" s="23"/>
      <c r="B943" s="23"/>
      <c r="C943" s="23"/>
      <c r="D943" s="23"/>
      <c r="E943" s="23"/>
      <c r="F943" s="23"/>
      <c r="G943" s="23"/>
      <c r="H943" s="23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</row>
    <row r="944" spans="1:19">
      <c r="A944" s="23"/>
      <c r="B944" s="23"/>
      <c r="C944" s="23"/>
      <c r="D944" s="23"/>
      <c r="E944" s="23"/>
      <c r="F944" s="23"/>
      <c r="G944" s="23"/>
      <c r="H944" s="23"/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</row>
    <row r="945" spans="1:19">
      <c r="A945" s="23"/>
      <c r="B945" s="23"/>
      <c r="C945" s="23"/>
      <c r="D945" s="23"/>
      <c r="E945" s="23"/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</row>
    <row r="946" spans="1:19">
      <c r="A946" s="23"/>
      <c r="B946" s="23"/>
      <c r="C946" s="23"/>
      <c r="D946" s="23"/>
      <c r="E946" s="23"/>
      <c r="F946" s="23"/>
      <c r="G946" s="23"/>
      <c r="H946" s="23"/>
      <c r="I946" s="23"/>
      <c r="J946" s="23"/>
      <c r="K946" s="23"/>
      <c r="L946" s="23"/>
      <c r="M946" s="23"/>
      <c r="N946" s="23"/>
      <c r="O946" s="23"/>
      <c r="P946" s="23"/>
      <c r="Q946" s="23"/>
      <c r="R946" s="23"/>
      <c r="S946" s="23"/>
    </row>
    <row r="947" spans="1:19">
      <c r="A947" s="23"/>
      <c r="B947" s="23"/>
      <c r="C947" s="23"/>
      <c r="D947" s="23"/>
      <c r="E947" s="23"/>
      <c r="F947" s="23"/>
      <c r="G947" s="23"/>
      <c r="H947" s="23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</row>
    <row r="948" spans="1:19">
      <c r="A948" s="23"/>
      <c r="B948" s="23"/>
      <c r="C948" s="23"/>
      <c r="D948" s="23"/>
      <c r="E948" s="23"/>
      <c r="F948" s="23"/>
      <c r="G948" s="23"/>
      <c r="H948" s="23"/>
      <c r="I948" s="23"/>
      <c r="J948" s="23"/>
      <c r="K948" s="23"/>
      <c r="L948" s="23"/>
      <c r="M948" s="23"/>
      <c r="N948" s="23"/>
      <c r="O948" s="23"/>
      <c r="P948" s="23"/>
      <c r="Q948" s="23"/>
      <c r="R948" s="23"/>
      <c r="S948" s="23"/>
    </row>
    <row r="949" spans="1:19">
      <c r="A949" s="23"/>
      <c r="B949" s="23"/>
      <c r="C949" s="23"/>
      <c r="D949" s="23"/>
      <c r="E949" s="23"/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</row>
    <row r="950" spans="1:19">
      <c r="A950" s="23"/>
      <c r="B950" s="23"/>
      <c r="C950" s="23"/>
      <c r="D950" s="23"/>
      <c r="E950" s="23"/>
      <c r="F950" s="23"/>
      <c r="G950" s="23"/>
      <c r="H950" s="23"/>
      <c r="I950" s="23"/>
      <c r="J950" s="23"/>
      <c r="K950" s="23"/>
      <c r="L950" s="23"/>
      <c r="M950" s="23"/>
      <c r="N950" s="23"/>
      <c r="O950" s="23"/>
      <c r="P950" s="23"/>
      <c r="Q950" s="23"/>
      <c r="R950" s="23"/>
      <c r="S950" s="23"/>
    </row>
    <row r="951" spans="1:19">
      <c r="A951" s="23"/>
      <c r="B951" s="23"/>
      <c r="C951" s="23"/>
      <c r="D951" s="23"/>
      <c r="E951" s="23"/>
      <c r="F951" s="23"/>
      <c r="G951" s="23"/>
      <c r="H951" s="23"/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</row>
    <row r="952" spans="1:19">
      <c r="A952" s="23"/>
      <c r="B952" s="23"/>
      <c r="C952" s="23"/>
      <c r="D952" s="23"/>
      <c r="E952" s="23"/>
      <c r="F952" s="23"/>
      <c r="G952" s="23"/>
      <c r="H952" s="23"/>
      <c r="I952" s="23"/>
      <c r="J952" s="23"/>
      <c r="K952" s="23"/>
      <c r="L952" s="23"/>
      <c r="M952" s="23"/>
      <c r="N952" s="23"/>
      <c r="O952" s="23"/>
      <c r="P952" s="23"/>
      <c r="Q952" s="23"/>
      <c r="R952" s="23"/>
      <c r="S952" s="23"/>
    </row>
    <row r="953" spans="1:19">
      <c r="A953" s="23"/>
      <c r="B953" s="23"/>
      <c r="C953" s="23"/>
      <c r="D953" s="23"/>
      <c r="E953" s="23"/>
      <c r="F953" s="23"/>
      <c r="G953" s="23"/>
      <c r="H953" s="23"/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</row>
    <row r="954" spans="1:19">
      <c r="A954" s="23"/>
      <c r="B954" s="23"/>
      <c r="C954" s="23"/>
      <c r="D954" s="23"/>
      <c r="E954" s="23"/>
      <c r="F954" s="23"/>
      <c r="G954" s="23"/>
      <c r="H954" s="23"/>
      <c r="I954" s="23"/>
      <c r="J954" s="23"/>
      <c r="K954" s="23"/>
      <c r="L954" s="23"/>
      <c r="M954" s="23"/>
      <c r="N954" s="23"/>
      <c r="O954" s="23"/>
      <c r="P954" s="23"/>
      <c r="Q954" s="23"/>
      <c r="R954" s="23"/>
      <c r="S954" s="23"/>
    </row>
    <row r="955" spans="1:19">
      <c r="A955" s="23"/>
      <c r="B955" s="23"/>
      <c r="C955" s="23"/>
      <c r="D955" s="23"/>
      <c r="E955" s="23"/>
      <c r="F955" s="23"/>
      <c r="G955" s="23"/>
      <c r="H955" s="23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</row>
    <row r="956" spans="1:19">
      <c r="A956" s="23"/>
      <c r="B956" s="23"/>
      <c r="C956" s="23"/>
      <c r="D956" s="23"/>
      <c r="E956" s="23"/>
      <c r="F956" s="23"/>
      <c r="G956" s="23"/>
      <c r="H956" s="23"/>
      <c r="I956" s="23"/>
      <c r="J956" s="23"/>
      <c r="K956" s="23"/>
      <c r="L956" s="23"/>
      <c r="M956" s="23"/>
      <c r="N956" s="23"/>
      <c r="O956" s="23"/>
      <c r="P956" s="23"/>
      <c r="Q956" s="23"/>
      <c r="R956" s="23"/>
      <c r="S956" s="23"/>
    </row>
    <row r="957" spans="1:19">
      <c r="A957" s="23"/>
      <c r="B957" s="23"/>
      <c r="C957" s="23"/>
      <c r="D957" s="23"/>
      <c r="E957" s="23"/>
      <c r="F957" s="23"/>
      <c r="G957" s="23"/>
      <c r="H957" s="23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</row>
    <row r="958" spans="1:19">
      <c r="A958" s="23"/>
      <c r="B958" s="23"/>
      <c r="C958" s="23"/>
      <c r="D958" s="23"/>
      <c r="E958" s="23"/>
      <c r="F958" s="23"/>
      <c r="G958" s="23"/>
      <c r="H958" s="23"/>
      <c r="I958" s="23"/>
      <c r="J958" s="23"/>
      <c r="K958" s="23"/>
      <c r="L958" s="23"/>
      <c r="M958" s="23"/>
      <c r="N958" s="23"/>
      <c r="O958" s="23"/>
      <c r="P958" s="23"/>
      <c r="Q958" s="23"/>
      <c r="R958" s="23"/>
      <c r="S958" s="23"/>
    </row>
    <row r="959" spans="1:19">
      <c r="A959" s="23"/>
      <c r="B959" s="23"/>
      <c r="C959" s="23"/>
      <c r="D959" s="23"/>
      <c r="E959" s="23"/>
      <c r="F959" s="23"/>
      <c r="G959" s="23"/>
      <c r="H959" s="23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</row>
    <row r="960" spans="1:19">
      <c r="A960" s="23"/>
      <c r="B960" s="23"/>
      <c r="C960" s="23"/>
      <c r="D960" s="23"/>
      <c r="E960" s="23"/>
      <c r="F960" s="23"/>
      <c r="G960" s="23"/>
      <c r="H960" s="23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</row>
    <row r="961" spans="1:19">
      <c r="A961" s="23"/>
      <c r="B961" s="23"/>
      <c r="C961" s="23"/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</row>
    <row r="962" spans="1:19">
      <c r="A962" s="23"/>
      <c r="B962" s="23"/>
      <c r="C962" s="23"/>
      <c r="D962" s="23"/>
      <c r="E962" s="23"/>
      <c r="F962" s="23"/>
      <c r="G962" s="23"/>
      <c r="H962" s="23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</row>
    <row r="963" spans="1:19">
      <c r="A963" s="23"/>
      <c r="B963" s="23"/>
      <c r="C963" s="23"/>
      <c r="D963" s="23"/>
      <c r="E963" s="23"/>
      <c r="F963" s="23"/>
      <c r="G963" s="23"/>
      <c r="H963" s="23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</row>
    <row r="964" spans="1:19">
      <c r="A964" s="23"/>
      <c r="B964" s="23"/>
      <c r="C964" s="23"/>
      <c r="D964" s="23"/>
      <c r="E964" s="23"/>
      <c r="F964" s="23"/>
      <c r="G964" s="23"/>
      <c r="H964" s="23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</row>
    <row r="965" spans="1:19">
      <c r="A965" s="23"/>
      <c r="B965" s="23"/>
      <c r="C965" s="23"/>
      <c r="D965" s="23"/>
      <c r="E965" s="23"/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</row>
    <row r="966" spans="1:19">
      <c r="A966" s="23"/>
      <c r="B966" s="23"/>
      <c r="C966" s="23"/>
      <c r="D966" s="23"/>
      <c r="E966" s="23"/>
      <c r="F966" s="23"/>
      <c r="G966" s="23"/>
      <c r="H966" s="23"/>
      <c r="I966" s="23"/>
      <c r="J966" s="23"/>
      <c r="K966" s="23"/>
      <c r="L966" s="23"/>
      <c r="M966" s="23"/>
      <c r="N966" s="23"/>
      <c r="O966" s="23"/>
      <c r="P966" s="23"/>
      <c r="Q966" s="23"/>
      <c r="R966" s="23"/>
      <c r="S966" s="23"/>
    </row>
    <row r="967" spans="1:19">
      <c r="A967" s="23"/>
      <c r="B967" s="23"/>
      <c r="C967" s="23"/>
      <c r="D967" s="23"/>
      <c r="E967" s="23"/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</row>
    <row r="968" spans="1:19">
      <c r="A968" s="23"/>
      <c r="B968" s="23"/>
      <c r="C968" s="23"/>
      <c r="D968" s="23"/>
      <c r="E968" s="23"/>
      <c r="F968" s="23"/>
      <c r="G968" s="23"/>
      <c r="H968" s="23"/>
      <c r="I968" s="23"/>
      <c r="J968" s="23"/>
      <c r="K968" s="23"/>
      <c r="L968" s="23"/>
      <c r="M968" s="23"/>
      <c r="N968" s="23"/>
      <c r="O968" s="23"/>
      <c r="P968" s="23"/>
      <c r="Q968" s="23"/>
      <c r="R968" s="23"/>
      <c r="S968" s="23"/>
    </row>
    <row r="969" spans="1:19">
      <c r="A969" s="23"/>
      <c r="B969" s="23"/>
      <c r="C969" s="23"/>
      <c r="D969" s="23"/>
      <c r="E969" s="23"/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</row>
    <row r="970" spans="1:19">
      <c r="A970" s="23"/>
      <c r="B970" s="23"/>
      <c r="C970" s="23"/>
      <c r="D970" s="23"/>
      <c r="E970" s="23"/>
      <c r="F970" s="23"/>
      <c r="G970" s="23"/>
      <c r="H970" s="23"/>
      <c r="I970" s="23"/>
      <c r="J970" s="23"/>
      <c r="K970" s="23"/>
      <c r="L970" s="23"/>
      <c r="M970" s="23"/>
      <c r="N970" s="23"/>
      <c r="O970" s="23"/>
      <c r="P970" s="23"/>
      <c r="Q970" s="23"/>
      <c r="R970" s="23"/>
      <c r="S970" s="23"/>
    </row>
    <row r="971" spans="1:19">
      <c r="A971" s="23"/>
      <c r="B971" s="23"/>
      <c r="C971" s="23"/>
      <c r="D971" s="23"/>
      <c r="E971" s="23"/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</row>
    <row r="972" spans="1:19">
      <c r="A972" s="23"/>
      <c r="B972" s="23"/>
      <c r="C972" s="23"/>
      <c r="D972" s="23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</row>
    <row r="973" spans="1:19">
      <c r="A973" s="23"/>
      <c r="B973" s="23"/>
      <c r="C973" s="23"/>
      <c r="D973" s="23"/>
      <c r="E973" s="23"/>
      <c r="F973" s="23"/>
      <c r="G973" s="23"/>
      <c r="H973" s="23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</row>
    <row r="974" spans="1:19">
      <c r="A974" s="23"/>
      <c r="B974" s="23"/>
      <c r="C974" s="23"/>
      <c r="D974" s="23"/>
      <c r="E974" s="23"/>
      <c r="F974" s="23"/>
      <c r="G974" s="23"/>
      <c r="H974" s="23"/>
      <c r="I974" s="23"/>
      <c r="J974" s="23"/>
      <c r="K974" s="23"/>
      <c r="L974" s="23"/>
      <c r="M974" s="23"/>
      <c r="N974" s="23"/>
      <c r="O974" s="23"/>
      <c r="P974" s="23"/>
      <c r="Q974" s="23"/>
      <c r="R974" s="23"/>
      <c r="S974" s="23"/>
    </row>
    <row r="975" spans="1:19">
      <c r="A975" s="23"/>
      <c r="B975" s="23"/>
      <c r="C975" s="23"/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</row>
    <row r="976" spans="1:19">
      <c r="A976" s="23"/>
      <c r="B976" s="23"/>
      <c r="C976" s="23"/>
      <c r="D976" s="23"/>
      <c r="E976" s="23"/>
      <c r="F976" s="23"/>
      <c r="G976" s="23"/>
      <c r="H976" s="23"/>
      <c r="I976" s="23"/>
      <c r="J976" s="23"/>
      <c r="K976" s="23"/>
      <c r="L976" s="23"/>
      <c r="M976" s="23"/>
      <c r="N976" s="23"/>
      <c r="O976" s="23"/>
      <c r="P976" s="23"/>
      <c r="Q976" s="23"/>
      <c r="R976" s="23"/>
      <c r="S976" s="23"/>
    </row>
    <row r="977" spans="1:19">
      <c r="A977" s="23"/>
      <c r="B977" s="23"/>
      <c r="C977" s="23"/>
      <c r="D977" s="23"/>
      <c r="E977" s="23"/>
      <c r="F977" s="23"/>
      <c r="G977" s="23"/>
      <c r="H977" s="23"/>
      <c r="I977" s="23"/>
      <c r="J977" s="23"/>
      <c r="K977" s="23"/>
      <c r="L977" s="23"/>
      <c r="M977" s="23"/>
      <c r="N977" s="23"/>
      <c r="O977" s="23"/>
      <c r="P977" s="23"/>
      <c r="Q977" s="23"/>
      <c r="R977" s="23"/>
      <c r="S977" s="23"/>
    </row>
    <row r="978" spans="1:19">
      <c r="A978" s="23"/>
      <c r="B978" s="23"/>
      <c r="C978" s="23"/>
      <c r="D978" s="23"/>
      <c r="E978" s="23"/>
      <c r="F978" s="23"/>
      <c r="G978" s="23"/>
      <c r="H978" s="23"/>
      <c r="I978" s="23"/>
      <c r="J978" s="23"/>
      <c r="K978" s="23"/>
      <c r="L978" s="23"/>
      <c r="M978" s="23"/>
      <c r="N978" s="23"/>
      <c r="O978" s="23"/>
      <c r="P978" s="23"/>
      <c r="Q978" s="23"/>
      <c r="R978" s="23"/>
      <c r="S978" s="23"/>
    </row>
    <row r="979" spans="1:19">
      <c r="A979" s="23"/>
      <c r="B979" s="23"/>
      <c r="C979" s="23"/>
      <c r="D979" s="23"/>
      <c r="E979" s="23"/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</row>
    <row r="980" spans="1:19">
      <c r="A980" s="23"/>
      <c r="B980" s="23"/>
      <c r="C980" s="23"/>
      <c r="D980" s="23"/>
      <c r="E980" s="23"/>
      <c r="F980" s="23"/>
      <c r="G980" s="23"/>
      <c r="H980" s="23"/>
      <c r="I980" s="23"/>
      <c r="J980" s="23"/>
      <c r="K980" s="23"/>
      <c r="L980" s="23"/>
      <c r="M980" s="23"/>
      <c r="N980" s="23"/>
      <c r="O980" s="23"/>
      <c r="P980" s="23"/>
      <c r="Q980" s="23"/>
      <c r="R980" s="23"/>
      <c r="S980" s="23"/>
    </row>
    <row r="981" spans="1:19">
      <c r="A981" s="23"/>
      <c r="B981" s="23"/>
      <c r="C981" s="23"/>
      <c r="D981" s="23"/>
      <c r="E981" s="23"/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</row>
    <row r="982" spans="1:19">
      <c r="A982" s="23"/>
      <c r="B982" s="23"/>
      <c r="C982" s="23"/>
      <c r="D982" s="23"/>
      <c r="E982" s="23"/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</row>
    <row r="983" spans="1:19">
      <c r="A983" s="23"/>
      <c r="B983" s="23"/>
      <c r="C983" s="23"/>
      <c r="D983" s="23"/>
      <c r="E983" s="23"/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</row>
    <row r="984" spans="1:19">
      <c r="A984" s="23"/>
      <c r="B984" s="23"/>
      <c r="C984" s="23"/>
      <c r="D984" s="23"/>
      <c r="E984" s="23"/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</row>
    <row r="985" spans="1:19">
      <c r="A985" s="23"/>
      <c r="B985" s="23"/>
      <c r="C985" s="23"/>
      <c r="D985" s="23"/>
      <c r="E985" s="23"/>
      <c r="F985" s="23"/>
      <c r="G985" s="23"/>
      <c r="H985" s="23"/>
      <c r="I985" s="23"/>
      <c r="J985" s="23"/>
      <c r="K985" s="23"/>
      <c r="L985" s="23"/>
      <c r="M985" s="23"/>
      <c r="N985" s="23"/>
      <c r="O985" s="23"/>
      <c r="P985" s="23"/>
      <c r="Q985" s="23"/>
      <c r="R985" s="23"/>
      <c r="S985" s="23"/>
    </row>
    <row r="986" spans="1:19">
      <c r="A986" s="23"/>
      <c r="B986" s="23"/>
      <c r="C986" s="23"/>
      <c r="D986" s="23"/>
      <c r="E986" s="23"/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23"/>
    </row>
    <row r="987" spans="1:19">
      <c r="A987" s="23"/>
      <c r="B987" s="23"/>
      <c r="C987" s="23"/>
      <c r="D987" s="23"/>
      <c r="E987" s="23"/>
      <c r="F987" s="23"/>
      <c r="G987" s="23"/>
      <c r="H987" s="23"/>
      <c r="I987" s="23"/>
      <c r="J987" s="23"/>
      <c r="K987" s="23"/>
      <c r="L987" s="23"/>
      <c r="M987" s="23"/>
      <c r="N987" s="23"/>
      <c r="O987" s="23"/>
      <c r="P987" s="23"/>
      <c r="Q987" s="23"/>
      <c r="R987" s="23"/>
      <c r="S987" s="23"/>
    </row>
    <row r="988" spans="1:19">
      <c r="A988" s="23"/>
      <c r="B988" s="23"/>
      <c r="C988" s="23"/>
      <c r="D988" s="23"/>
      <c r="E988" s="23"/>
      <c r="F988" s="23"/>
      <c r="G988" s="23"/>
      <c r="H988" s="23"/>
      <c r="I988" s="23"/>
      <c r="J988" s="23"/>
      <c r="K988" s="23"/>
      <c r="L988" s="23"/>
      <c r="M988" s="23"/>
      <c r="N988" s="23"/>
      <c r="O988" s="23"/>
      <c r="P988" s="23"/>
      <c r="Q988" s="23"/>
      <c r="R988" s="23"/>
      <c r="S988" s="23"/>
    </row>
    <row r="989" spans="1:19">
      <c r="A989" s="23"/>
      <c r="B989" s="23"/>
      <c r="C989" s="23"/>
      <c r="D989" s="23"/>
      <c r="E989" s="23"/>
      <c r="F989" s="23"/>
      <c r="G989" s="23"/>
      <c r="H989" s="23"/>
      <c r="I989" s="23"/>
      <c r="J989" s="23"/>
      <c r="K989" s="23"/>
      <c r="L989" s="23"/>
      <c r="M989" s="23"/>
      <c r="N989" s="23"/>
      <c r="O989" s="23"/>
      <c r="P989" s="23"/>
      <c r="Q989" s="23"/>
      <c r="R989" s="23"/>
      <c r="S989" s="23"/>
    </row>
    <row r="990" spans="1:19">
      <c r="A990" s="23"/>
      <c r="B990" s="23"/>
      <c r="C990" s="23"/>
      <c r="D990" s="23"/>
      <c r="E990" s="23"/>
      <c r="F990" s="23"/>
      <c r="G990" s="23"/>
      <c r="H990" s="23"/>
      <c r="I990" s="23"/>
      <c r="J990" s="23"/>
      <c r="K990" s="23"/>
      <c r="L990" s="23"/>
      <c r="M990" s="23"/>
      <c r="N990" s="23"/>
      <c r="O990" s="23"/>
      <c r="P990" s="23"/>
      <c r="Q990" s="23"/>
      <c r="R990" s="23"/>
      <c r="S990" s="23"/>
    </row>
    <row r="991" spans="1:19">
      <c r="A991" s="23"/>
      <c r="B991" s="23"/>
      <c r="C991" s="23"/>
      <c r="D991" s="23"/>
      <c r="E991" s="23"/>
      <c r="F991" s="23"/>
      <c r="G991" s="23"/>
      <c r="H991" s="23"/>
      <c r="I991" s="23"/>
      <c r="J991" s="23"/>
      <c r="K991" s="23"/>
      <c r="L991" s="23"/>
      <c r="M991" s="23"/>
      <c r="N991" s="23"/>
      <c r="O991" s="23"/>
      <c r="P991" s="23"/>
      <c r="Q991" s="23"/>
      <c r="R991" s="23"/>
      <c r="S991" s="23"/>
    </row>
    <row r="992" spans="1:19">
      <c r="A992" s="23"/>
      <c r="B992" s="23"/>
      <c r="C992" s="23"/>
      <c r="D992" s="23"/>
      <c r="E992" s="23"/>
      <c r="F992" s="23"/>
      <c r="G992" s="23"/>
      <c r="H992" s="23"/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</row>
    <row r="993" spans="1:19">
      <c r="A993" s="23"/>
      <c r="B993" s="23"/>
      <c r="C993" s="23"/>
      <c r="D993" s="23"/>
      <c r="E993" s="23"/>
      <c r="F993" s="23"/>
      <c r="G993" s="23"/>
      <c r="H993" s="23"/>
      <c r="I993" s="23"/>
      <c r="J993" s="23"/>
      <c r="K993" s="23"/>
      <c r="L993" s="23"/>
      <c r="M993" s="23"/>
      <c r="N993" s="23"/>
      <c r="O993" s="23"/>
      <c r="P993" s="23"/>
      <c r="Q993" s="23"/>
      <c r="R993" s="23"/>
      <c r="S993" s="23"/>
    </row>
    <row r="994" spans="1:19">
      <c r="A994" s="23"/>
      <c r="B994" s="23"/>
      <c r="C994" s="23"/>
      <c r="D994" s="23"/>
      <c r="E994" s="23"/>
      <c r="F994" s="23"/>
      <c r="G994" s="23"/>
      <c r="H994" s="23"/>
      <c r="I994" s="23"/>
      <c r="J994" s="23"/>
      <c r="K994" s="23"/>
      <c r="L994" s="23"/>
      <c r="M994" s="23"/>
      <c r="N994" s="23"/>
      <c r="O994" s="23"/>
      <c r="P994" s="23"/>
      <c r="Q994" s="23"/>
      <c r="R994" s="23"/>
      <c r="S994" s="23"/>
    </row>
    <row r="995" spans="1:19">
      <c r="A995" s="23"/>
      <c r="B995" s="23"/>
      <c r="C995" s="23"/>
      <c r="D995" s="23"/>
      <c r="E995" s="23"/>
      <c r="F995" s="23"/>
      <c r="G995" s="23"/>
      <c r="H995" s="23"/>
      <c r="I995" s="23"/>
      <c r="J995" s="23"/>
      <c r="K995" s="23"/>
      <c r="L995" s="23"/>
      <c r="M995" s="23"/>
      <c r="N995" s="23"/>
      <c r="O995" s="23"/>
      <c r="P995" s="23"/>
      <c r="Q995" s="23"/>
      <c r="R995" s="23"/>
      <c r="S995" s="23"/>
    </row>
    <row r="996" spans="1:19">
      <c r="A996" s="23"/>
      <c r="B996" s="23"/>
      <c r="C996" s="23"/>
      <c r="D996" s="23"/>
      <c r="E996" s="23"/>
      <c r="F996" s="23"/>
      <c r="G996" s="23"/>
      <c r="H996" s="23"/>
      <c r="I996" s="23"/>
      <c r="J996" s="23"/>
      <c r="K996" s="23"/>
      <c r="L996" s="23"/>
      <c r="M996" s="23"/>
      <c r="N996" s="23"/>
      <c r="O996" s="23"/>
      <c r="P996" s="23"/>
      <c r="Q996" s="23"/>
      <c r="R996" s="23"/>
      <c r="S996" s="23"/>
    </row>
    <row r="997" spans="1:19">
      <c r="A997" s="23"/>
      <c r="B997" s="23"/>
      <c r="C997" s="23"/>
      <c r="D997" s="23"/>
      <c r="E997" s="23"/>
      <c r="F997" s="23"/>
      <c r="G997" s="23"/>
      <c r="H997" s="23"/>
      <c r="I997" s="23"/>
      <c r="J997" s="23"/>
      <c r="K997" s="23"/>
      <c r="L997" s="23"/>
      <c r="M997" s="23"/>
      <c r="N997" s="23"/>
      <c r="O997" s="23"/>
      <c r="P997" s="23"/>
      <c r="Q997" s="23"/>
      <c r="R997" s="23"/>
      <c r="S997" s="23"/>
    </row>
    <row r="998" spans="1:19">
      <c r="A998" s="23"/>
      <c r="B998" s="23"/>
      <c r="C998" s="23"/>
      <c r="D998" s="23"/>
      <c r="E998" s="23"/>
      <c r="F998" s="23"/>
      <c r="G998" s="23"/>
      <c r="H998" s="23"/>
      <c r="I998" s="23"/>
      <c r="J998" s="23"/>
      <c r="K998" s="23"/>
      <c r="L998" s="23"/>
      <c r="M998" s="23"/>
      <c r="N998" s="23"/>
      <c r="O998" s="23"/>
      <c r="P998" s="23"/>
      <c r="Q998" s="23"/>
      <c r="R998" s="23"/>
      <c r="S998" s="23"/>
    </row>
    <row r="999" spans="1:19">
      <c r="A999" s="23"/>
      <c r="B999" s="23"/>
      <c r="C999" s="23"/>
      <c r="D999" s="23"/>
      <c r="E999" s="23"/>
      <c r="F999" s="23"/>
      <c r="G999" s="23"/>
      <c r="H999" s="23"/>
      <c r="I999" s="23"/>
      <c r="J999" s="23"/>
      <c r="K999" s="23"/>
      <c r="L999" s="23"/>
      <c r="M999" s="23"/>
      <c r="N999" s="23"/>
      <c r="O999" s="23"/>
      <c r="P999" s="23"/>
      <c r="Q999" s="23"/>
      <c r="R999" s="23"/>
      <c r="S999" s="23"/>
    </row>
    <row r="1000" spans="1:19">
      <c r="A1000" s="23"/>
      <c r="B1000" s="23"/>
      <c r="C1000" s="23"/>
      <c r="D1000" s="23"/>
      <c r="E1000" s="23"/>
      <c r="F1000" s="23"/>
      <c r="G1000" s="23"/>
      <c r="H1000" s="23"/>
      <c r="I1000" s="23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outlinePr summaryBelow="0" summaryRight="0"/>
  </sheetPr>
  <dimension ref="A1:S1000"/>
  <sheetViews>
    <sheetView workbookViewId="0"/>
  </sheetViews>
  <sheetFormatPr baseColWidth="10" defaultColWidth="11.1640625" defaultRowHeight="15" customHeight="1"/>
  <sheetData>
    <row r="1" spans="1:19">
      <c r="A1" s="23" t="str">
        <f ca="1">IFERROR(__xludf.DUMMYFUNCTION("IMPORTRANGE(""https://docs.google.com/spreadsheets/d/1iB1jyWAJyZ7e3O1bmLTdLl18y4kbu3po3PUU4JQdxnQ/edit?gid=1552568037#gid=1552568037"",""01!A1:S"")"),"INDICADORES")</f>
        <v>INDICADORES</v>
      </c>
      <c r="B1" s="23" t="str">
        <f ca="1">IFERROR(__xludf.DUMMYFUNCTION("""COMPUTED_VALUE"""),"META ANUAL")</f>
        <v>META ANUAL</v>
      </c>
      <c r="C1" s="23" t="str">
        <f ca="1">IFERROR(__xludf.DUMMYFUNCTION("""COMPUTED_VALUE"""),"UNIDAD DE MEDIDA")</f>
        <v>UNIDAD DE MEDIDA</v>
      </c>
      <c r="D1" s="23" t="str">
        <f ca="1">IFERROR(__xludf.DUMMYFUNCTION("""COMPUTED_VALUE"""),"TIPO DE INDICADOR")</f>
        <v>TIPO DE INDICADOR</v>
      </c>
      <c r="E1" s="23" t="str">
        <f ca="1">IFERROR(__xludf.DUMMYFUNCTION("""COMPUTED_VALUE"""),"MEDIO DE VERIFICACION")</f>
        <v>MEDIO DE VERIFICACION</v>
      </c>
      <c r="F1" s="23" t="str">
        <f ca="1">IFERROR(__xludf.DUMMYFUNCTION("""COMPUTED_VALUE"""),"% AVANCE ")</f>
        <v xml:space="preserve">% AVANCE </v>
      </c>
      <c r="G1" s="23" t="str">
        <f ca="1">IFERROR(__xludf.DUMMYFUNCTION("""COMPUTED_VALUE"""),"OCTUBRE")</f>
        <v>OCTUBRE</v>
      </c>
      <c r="H1" s="23" t="str">
        <f ca="1">IFERROR(__xludf.DUMMYFUNCTION("""COMPUTED_VALUE"""),"NOVIEMBRE")</f>
        <v>NOVIEMBRE</v>
      </c>
      <c r="I1" s="23" t="str">
        <f ca="1">IFERROR(__xludf.DUMMYFUNCTION("""COMPUTED_VALUE"""),"DICIEMBRE")</f>
        <v>DICIEMBRE</v>
      </c>
      <c r="J1" s="23" t="str">
        <f ca="1">IFERROR(__xludf.DUMMYFUNCTION("""COMPUTED_VALUE"""),"ENERO ")</f>
        <v xml:space="preserve">ENERO </v>
      </c>
      <c r="K1" s="23" t="str">
        <f ca="1">IFERROR(__xludf.DUMMYFUNCTION("""COMPUTED_VALUE"""),"FEBRERO")</f>
        <v>FEBRERO</v>
      </c>
      <c r="L1" s="23" t="str">
        <f ca="1">IFERROR(__xludf.DUMMYFUNCTION("""COMPUTED_VALUE"""),"MARZO")</f>
        <v>MARZO</v>
      </c>
      <c r="M1" s="23" t="str">
        <f ca="1">IFERROR(__xludf.DUMMYFUNCTION("""COMPUTED_VALUE"""),"ABRIL")</f>
        <v>ABRIL</v>
      </c>
      <c r="N1" s="23" t="str">
        <f ca="1">IFERROR(__xludf.DUMMYFUNCTION("""COMPUTED_VALUE"""),"MAYO")</f>
        <v>MAYO</v>
      </c>
      <c r="O1" s="23" t="str">
        <f ca="1">IFERROR(__xludf.DUMMYFUNCTION("""COMPUTED_VALUE"""),"JUNIO")</f>
        <v>JUNIO</v>
      </c>
      <c r="P1" s="23" t="str">
        <f ca="1">IFERROR(__xludf.DUMMYFUNCTION("""COMPUTED_VALUE"""),"JULIO")</f>
        <v>JULIO</v>
      </c>
      <c r="Q1" s="23" t="str">
        <f ca="1">IFERROR(__xludf.DUMMYFUNCTION("""COMPUTED_VALUE"""),"AGOSTO")</f>
        <v>AGOSTO</v>
      </c>
      <c r="R1" s="23" t="str">
        <f ca="1">IFERROR(__xludf.DUMMYFUNCTION("""COMPUTED_VALUE"""),"SEPTIEMBRE")</f>
        <v>SEPTIEMBRE</v>
      </c>
      <c r="S1" s="23" t="str">
        <f ca="1">IFERROR(__xludf.DUMMYFUNCTION("""COMPUTED_VALUE"""),"SUMATORIA TOTAL")</f>
        <v>SUMATORIA TOTAL</v>
      </c>
    </row>
    <row r="2" spans="1:19">
      <c r="A2" s="23" t="str">
        <f ca="1">IFERROR(__xludf.DUMMYFUNCTION("""COMPUTED_VALUE"""),"MANTENIMIENTO A INFRAESTRUCTURA DE AGUA POTABLE")</f>
        <v>MANTENIMIENTO A INFRAESTRUCTURA DE AGUA POTABLE</v>
      </c>
      <c r="B2" s="23">
        <f ca="1">IFERROR(__xludf.DUMMYFUNCTION("""COMPUTED_VALUE"""),1)</f>
        <v>1</v>
      </c>
      <c r="C2" s="23"/>
      <c r="D2" s="23" t="str">
        <f ca="1">IFERROR(__xludf.DUMMYFUNCTION("""COMPUTED_VALUE"""),"ASCENDENTE")</f>
        <v>ASCENDENTE</v>
      </c>
      <c r="E2" s="23" t="str">
        <f ca="1">IFERROR(__xludf.DUMMYFUNCTION("""COMPUTED_VALUE"""),"SESIONES PUBLICAS")</f>
        <v>SESIONES PUBLICAS</v>
      </c>
      <c r="F2" s="23">
        <f ca="1">IFERROR(__xludf.DUMMYFUNCTION("""COMPUTED_VALUE"""),0)</f>
        <v>0</v>
      </c>
      <c r="G2" s="23">
        <f ca="1">IFERROR(__xludf.DUMMYFUNCTION("""COMPUTED_VALUE"""),0)</f>
        <v>0</v>
      </c>
      <c r="H2" s="23">
        <f ca="1">IFERROR(__xludf.DUMMYFUNCTION("""COMPUTED_VALUE"""),0)</f>
        <v>0</v>
      </c>
      <c r="I2" s="23">
        <f ca="1">IFERROR(__xludf.DUMMYFUNCTION("""COMPUTED_VALUE"""),0)</f>
        <v>0</v>
      </c>
      <c r="J2" s="23">
        <f ca="1">IFERROR(__xludf.DUMMYFUNCTION("""COMPUTED_VALUE"""),8)</f>
        <v>8</v>
      </c>
      <c r="K2" s="23">
        <f ca="1">IFERROR(__xludf.DUMMYFUNCTION("""COMPUTED_VALUE"""),9)</f>
        <v>9</v>
      </c>
      <c r="L2" s="23">
        <f ca="1">IFERROR(__xludf.DUMMYFUNCTION("""COMPUTED_VALUE"""),10)</f>
        <v>10</v>
      </c>
      <c r="M2" s="23">
        <f ca="1">IFERROR(__xludf.DUMMYFUNCTION("""COMPUTED_VALUE"""),0)</f>
        <v>0</v>
      </c>
      <c r="N2" s="23">
        <f ca="1">IFERROR(__xludf.DUMMYFUNCTION("""COMPUTED_VALUE"""),0)</f>
        <v>0</v>
      </c>
      <c r="O2" s="23">
        <f ca="1">IFERROR(__xludf.DUMMYFUNCTION("""COMPUTED_VALUE"""),0)</f>
        <v>0</v>
      </c>
      <c r="P2" s="23">
        <f ca="1">IFERROR(__xludf.DUMMYFUNCTION("""COMPUTED_VALUE"""),0)</f>
        <v>0</v>
      </c>
      <c r="Q2" s="23">
        <f ca="1">IFERROR(__xludf.DUMMYFUNCTION("""COMPUTED_VALUE"""),0)</f>
        <v>0</v>
      </c>
      <c r="R2" s="23">
        <f ca="1">IFERROR(__xludf.DUMMYFUNCTION("""COMPUTED_VALUE"""),0)</f>
        <v>0</v>
      </c>
      <c r="S2" s="23">
        <f ca="1">IFERROR(__xludf.DUMMYFUNCTION("""COMPUTED_VALUE"""),27)</f>
        <v>27</v>
      </c>
    </row>
    <row r="3" spans="1:19">
      <c r="A3" s="23" t="str">
        <f ca="1">IFERROR(__xludf.DUMMYFUNCTION("""COMPUTED_VALUE"""),"REPORTES FUGAS DE AGUA")</f>
        <v>REPORTES FUGAS DE AGUA</v>
      </c>
      <c r="B3" s="23">
        <f ca="1">IFERROR(__xludf.DUMMYFUNCTION("""COMPUTED_VALUE"""),1)</f>
        <v>1</v>
      </c>
      <c r="C3" s="23"/>
      <c r="D3" s="23" t="str">
        <f ca="1">IFERROR(__xludf.DUMMYFUNCTION("""COMPUTED_VALUE"""),"ASCENDENTE")</f>
        <v>ASCENDENTE</v>
      </c>
      <c r="E3" s="23" t="str">
        <f ca="1">IFERROR(__xludf.DUMMYFUNCTION("""COMPUTED_VALUE"""),"BITACORA DE ATENCION")</f>
        <v>BITACORA DE ATENCION</v>
      </c>
      <c r="F3" s="23">
        <f ca="1">IFERROR(__xludf.DUMMYFUNCTION("""COMPUTED_VALUE"""),0)</f>
        <v>0</v>
      </c>
      <c r="G3" s="23">
        <f ca="1">IFERROR(__xludf.DUMMYFUNCTION("""COMPUTED_VALUE"""),0)</f>
        <v>0</v>
      </c>
      <c r="H3" s="23">
        <f ca="1">IFERROR(__xludf.DUMMYFUNCTION("""COMPUTED_VALUE"""),0)</f>
        <v>0</v>
      </c>
      <c r="I3" s="23">
        <f ca="1">IFERROR(__xludf.DUMMYFUNCTION("""COMPUTED_VALUE"""),0)</f>
        <v>0</v>
      </c>
      <c r="J3" s="23">
        <f ca="1">IFERROR(__xludf.DUMMYFUNCTION("""COMPUTED_VALUE"""),71)</f>
        <v>71</v>
      </c>
      <c r="K3" s="23">
        <f ca="1">IFERROR(__xludf.DUMMYFUNCTION("""COMPUTED_VALUE"""),70)</f>
        <v>70</v>
      </c>
      <c r="L3" s="23">
        <f ca="1">IFERROR(__xludf.DUMMYFUNCTION("""COMPUTED_VALUE"""),0)</f>
        <v>0</v>
      </c>
      <c r="M3" s="23">
        <f ca="1">IFERROR(__xludf.DUMMYFUNCTION("""COMPUTED_VALUE"""),0)</f>
        <v>0</v>
      </c>
      <c r="N3" s="23">
        <f ca="1">IFERROR(__xludf.DUMMYFUNCTION("""COMPUTED_VALUE"""),0)</f>
        <v>0</v>
      </c>
      <c r="O3" s="23">
        <f ca="1">IFERROR(__xludf.DUMMYFUNCTION("""COMPUTED_VALUE"""),0)</f>
        <v>0</v>
      </c>
      <c r="P3" s="23">
        <f ca="1">IFERROR(__xludf.DUMMYFUNCTION("""COMPUTED_VALUE"""),0)</f>
        <v>0</v>
      </c>
      <c r="Q3" s="23">
        <f ca="1">IFERROR(__xludf.DUMMYFUNCTION("""COMPUTED_VALUE"""),0)</f>
        <v>0</v>
      </c>
      <c r="R3" s="23">
        <f ca="1">IFERROR(__xludf.DUMMYFUNCTION("""COMPUTED_VALUE"""),0)</f>
        <v>0</v>
      </c>
      <c r="S3" s="23">
        <f ca="1">IFERROR(__xludf.DUMMYFUNCTION("""COMPUTED_VALUE"""),141)</f>
        <v>141</v>
      </c>
    </row>
    <row r="4" spans="1:19">
      <c r="A4" s="23" t="str">
        <f ca="1">IFERROR(__xludf.DUMMYFUNCTION("""COMPUTED_VALUE"""),"RECONEXIONES TOMAS DE AGUA")</f>
        <v>RECONEXIONES TOMAS DE AGUA</v>
      </c>
      <c r="B4" s="23">
        <f ca="1">IFERROR(__xludf.DUMMYFUNCTION("""COMPUTED_VALUE"""),1)</f>
        <v>1</v>
      </c>
      <c r="C4" s="23"/>
      <c r="D4" s="23" t="str">
        <f ca="1">IFERROR(__xludf.DUMMYFUNCTION("""COMPUTED_VALUE"""),"ASCENDENTE")</f>
        <v>ASCENDENTE</v>
      </c>
      <c r="E4" s="23" t="str">
        <f ca="1">IFERROR(__xludf.DUMMYFUNCTION("""COMPUTED_VALUE"""),"BITACORA DE ATENCION")</f>
        <v>BITACORA DE ATENCION</v>
      </c>
      <c r="F4" s="23">
        <f ca="1">IFERROR(__xludf.DUMMYFUNCTION("""COMPUTED_VALUE"""),0)</f>
        <v>0</v>
      </c>
      <c r="G4" s="23">
        <f ca="1">IFERROR(__xludf.DUMMYFUNCTION("""COMPUTED_VALUE"""),0)</f>
        <v>0</v>
      </c>
      <c r="H4" s="23">
        <f ca="1">IFERROR(__xludf.DUMMYFUNCTION("""COMPUTED_VALUE"""),0)</f>
        <v>0</v>
      </c>
      <c r="I4" s="23">
        <f ca="1">IFERROR(__xludf.DUMMYFUNCTION("""COMPUTED_VALUE"""),0)</f>
        <v>0</v>
      </c>
      <c r="J4" s="23">
        <f ca="1">IFERROR(__xludf.DUMMYFUNCTION("""COMPUTED_VALUE"""),5)</f>
        <v>5</v>
      </c>
      <c r="K4" s="23">
        <f ca="1">IFERROR(__xludf.DUMMYFUNCTION("""COMPUTED_VALUE"""),3)</f>
        <v>3</v>
      </c>
      <c r="L4" s="23">
        <f ca="1">IFERROR(__xludf.DUMMYFUNCTION("""COMPUTED_VALUE"""),0)</f>
        <v>0</v>
      </c>
      <c r="M4" s="23">
        <f ca="1">IFERROR(__xludf.DUMMYFUNCTION("""COMPUTED_VALUE"""),0)</f>
        <v>0</v>
      </c>
      <c r="N4" s="23">
        <f ca="1">IFERROR(__xludf.DUMMYFUNCTION("""COMPUTED_VALUE"""),0)</f>
        <v>0</v>
      </c>
      <c r="O4" s="23">
        <f ca="1">IFERROR(__xludf.DUMMYFUNCTION("""COMPUTED_VALUE"""),0)</f>
        <v>0</v>
      </c>
      <c r="P4" s="23">
        <f ca="1">IFERROR(__xludf.DUMMYFUNCTION("""COMPUTED_VALUE"""),0)</f>
        <v>0</v>
      </c>
      <c r="Q4" s="23">
        <f ca="1">IFERROR(__xludf.DUMMYFUNCTION("""COMPUTED_VALUE"""),0)</f>
        <v>0</v>
      </c>
      <c r="R4" s="23">
        <f ca="1">IFERROR(__xludf.DUMMYFUNCTION("""COMPUTED_VALUE"""),0)</f>
        <v>0</v>
      </c>
      <c r="S4" s="23">
        <f ca="1">IFERROR(__xludf.DUMMYFUNCTION("""COMPUTED_VALUE"""),8)</f>
        <v>8</v>
      </c>
    </row>
    <row r="5" spans="1:19">
      <c r="A5" s="23" t="str">
        <f ca="1">IFERROR(__xludf.DUMMYFUNCTION("""COMPUTED_VALUE"""),"SOPLETEAR TOMAS")</f>
        <v>SOPLETEAR TOMAS</v>
      </c>
      <c r="B5" s="23">
        <f ca="1">IFERROR(__xludf.DUMMYFUNCTION("""COMPUTED_VALUE"""),1)</f>
        <v>1</v>
      </c>
      <c r="C5" s="23"/>
      <c r="D5" s="23" t="str">
        <f ca="1">IFERROR(__xludf.DUMMYFUNCTION("""COMPUTED_VALUE"""),"ASCENDENTE")</f>
        <v>ASCENDENTE</v>
      </c>
      <c r="E5" s="23" t="str">
        <f ca="1">IFERROR(__xludf.DUMMYFUNCTION("""COMPUTED_VALUE"""),"BITACORA OPERATIVA")</f>
        <v>BITACORA OPERATIVA</v>
      </c>
      <c r="F5" s="23">
        <f ca="1">IFERROR(__xludf.DUMMYFUNCTION("""COMPUTED_VALUE"""),0)</f>
        <v>0</v>
      </c>
      <c r="G5" s="23">
        <f ca="1">IFERROR(__xludf.DUMMYFUNCTION("""COMPUTED_VALUE"""),0)</f>
        <v>0</v>
      </c>
      <c r="H5" s="23">
        <f ca="1">IFERROR(__xludf.DUMMYFUNCTION("""COMPUTED_VALUE"""),0)</f>
        <v>0</v>
      </c>
      <c r="I5" s="23">
        <f ca="1">IFERROR(__xludf.DUMMYFUNCTION("""COMPUTED_VALUE"""),0)</f>
        <v>0</v>
      </c>
      <c r="J5" s="23">
        <f ca="1">IFERROR(__xludf.DUMMYFUNCTION("""COMPUTED_VALUE"""),11)</f>
        <v>11</v>
      </c>
      <c r="K5" s="23">
        <f ca="1">IFERROR(__xludf.DUMMYFUNCTION("""COMPUTED_VALUE"""),13)</f>
        <v>13</v>
      </c>
      <c r="L5" s="23">
        <f ca="1">IFERROR(__xludf.DUMMYFUNCTION("""COMPUTED_VALUE"""),8)</f>
        <v>8</v>
      </c>
      <c r="M5" s="23">
        <f ca="1">IFERROR(__xludf.DUMMYFUNCTION("""COMPUTED_VALUE"""),0)</f>
        <v>0</v>
      </c>
      <c r="N5" s="23">
        <f ca="1">IFERROR(__xludf.DUMMYFUNCTION("""COMPUTED_VALUE"""),0)</f>
        <v>0</v>
      </c>
      <c r="O5" s="23">
        <f ca="1">IFERROR(__xludf.DUMMYFUNCTION("""COMPUTED_VALUE"""),0)</f>
        <v>0</v>
      </c>
      <c r="P5" s="23">
        <f ca="1">IFERROR(__xludf.DUMMYFUNCTION("""COMPUTED_VALUE"""),0)</f>
        <v>0</v>
      </c>
      <c r="Q5" s="23">
        <f ca="1">IFERROR(__xludf.DUMMYFUNCTION("""COMPUTED_VALUE"""),0)</f>
        <v>0</v>
      </c>
      <c r="R5" s="23">
        <f ca="1">IFERROR(__xludf.DUMMYFUNCTION("""COMPUTED_VALUE"""),0)</f>
        <v>0</v>
      </c>
      <c r="S5" s="23">
        <f ca="1">IFERROR(__xludf.DUMMYFUNCTION("""COMPUTED_VALUE"""),32)</f>
        <v>32</v>
      </c>
    </row>
    <row r="6" spans="1:19">
      <c r="A6" s="23" t="str">
        <f ca="1">IFERROR(__xludf.DUMMYFUNCTION("""COMPUTED_VALUE"""),"SUSPENSIÓN DE TOMAS")</f>
        <v>SUSPENSIÓN DE TOMAS</v>
      </c>
      <c r="B6" s="23">
        <f ca="1">IFERROR(__xludf.DUMMYFUNCTION("""COMPUTED_VALUE"""),1)</f>
        <v>1</v>
      </c>
      <c r="C6" s="23"/>
      <c r="D6" s="23" t="str">
        <f ca="1">IFERROR(__xludf.DUMMYFUNCTION("""COMPUTED_VALUE"""),"ASCENDENTE")</f>
        <v>ASCENDENTE</v>
      </c>
      <c r="E6" s="23" t="str">
        <f ca="1">IFERROR(__xludf.DUMMYFUNCTION("""COMPUTED_VALUE"""),"BITACORA OPERATIVA")</f>
        <v>BITACORA OPERATIVA</v>
      </c>
      <c r="F6" s="23">
        <f ca="1">IFERROR(__xludf.DUMMYFUNCTION("""COMPUTED_VALUE"""),0)</f>
        <v>0</v>
      </c>
      <c r="G6" s="23">
        <f ca="1">IFERROR(__xludf.DUMMYFUNCTION("""COMPUTED_VALUE"""),0)</f>
        <v>0</v>
      </c>
      <c r="H6" s="23">
        <f ca="1">IFERROR(__xludf.DUMMYFUNCTION("""COMPUTED_VALUE"""),0)</f>
        <v>0</v>
      </c>
      <c r="I6" s="23">
        <f ca="1">IFERROR(__xludf.DUMMYFUNCTION("""COMPUTED_VALUE"""),0)</f>
        <v>0</v>
      </c>
      <c r="J6" s="23">
        <f ca="1">IFERROR(__xludf.DUMMYFUNCTION("""COMPUTED_VALUE"""),15)</f>
        <v>15</v>
      </c>
      <c r="K6" s="23">
        <f ca="1">IFERROR(__xludf.DUMMYFUNCTION("""COMPUTED_VALUE"""),2)</f>
        <v>2</v>
      </c>
      <c r="L6" s="23">
        <f ca="1">IFERROR(__xludf.DUMMYFUNCTION("""COMPUTED_VALUE"""),8)</f>
        <v>8</v>
      </c>
      <c r="M6" s="23">
        <f ca="1">IFERROR(__xludf.DUMMYFUNCTION("""COMPUTED_VALUE"""),0)</f>
        <v>0</v>
      </c>
      <c r="N6" s="23">
        <f ca="1">IFERROR(__xludf.DUMMYFUNCTION("""COMPUTED_VALUE"""),0)</f>
        <v>0</v>
      </c>
      <c r="O6" s="23">
        <f ca="1">IFERROR(__xludf.DUMMYFUNCTION("""COMPUTED_VALUE"""),0)</f>
        <v>0</v>
      </c>
      <c r="P6" s="23">
        <f ca="1">IFERROR(__xludf.DUMMYFUNCTION("""COMPUTED_VALUE"""),0)</f>
        <v>0</v>
      </c>
      <c r="Q6" s="23">
        <f ca="1">IFERROR(__xludf.DUMMYFUNCTION("""COMPUTED_VALUE"""),0)</f>
        <v>0</v>
      </c>
      <c r="R6" s="23">
        <f ca="1">IFERROR(__xludf.DUMMYFUNCTION("""COMPUTED_VALUE"""),0)</f>
        <v>0</v>
      </c>
      <c r="S6" s="23">
        <f ca="1">IFERROR(__xludf.DUMMYFUNCTION("""COMPUTED_VALUE"""),25)</f>
        <v>25</v>
      </c>
    </row>
    <row r="7" spans="1:19">
      <c r="A7" s="23" t="str">
        <f ca="1">IFERROR(__xludf.DUMMYFUNCTION("""COMPUTED_VALUE"""),"REPARACIÓN O DESASOLVE")</f>
        <v>REPARACIÓN O DESASOLVE</v>
      </c>
      <c r="B7" s="23">
        <f ca="1">IFERROR(__xludf.DUMMYFUNCTION("""COMPUTED_VALUE"""),1)</f>
        <v>1</v>
      </c>
      <c r="C7" s="23"/>
      <c r="D7" s="23" t="str">
        <f ca="1">IFERROR(__xludf.DUMMYFUNCTION("""COMPUTED_VALUE"""),"ASCENDENTE")</f>
        <v>ASCENDENTE</v>
      </c>
      <c r="E7" s="23" t="str">
        <f ca="1">IFERROR(__xludf.DUMMYFUNCTION("""COMPUTED_VALUE"""),"BITACORA OPERATIVA")</f>
        <v>BITACORA OPERATIVA</v>
      </c>
      <c r="F7" s="23">
        <f ca="1">IFERROR(__xludf.DUMMYFUNCTION("""COMPUTED_VALUE"""),0)</f>
        <v>0</v>
      </c>
      <c r="G7" s="23">
        <f ca="1">IFERROR(__xludf.DUMMYFUNCTION("""COMPUTED_VALUE"""),0)</f>
        <v>0</v>
      </c>
      <c r="H7" s="23">
        <f ca="1">IFERROR(__xludf.DUMMYFUNCTION("""COMPUTED_VALUE"""),0)</f>
        <v>0</v>
      </c>
      <c r="I7" s="23">
        <f ca="1">IFERROR(__xludf.DUMMYFUNCTION("""COMPUTED_VALUE"""),0)</f>
        <v>0</v>
      </c>
      <c r="J7" s="23">
        <f ca="1">IFERROR(__xludf.DUMMYFUNCTION("""COMPUTED_VALUE"""),16)</f>
        <v>16</v>
      </c>
      <c r="K7" s="23">
        <f ca="1">IFERROR(__xludf.DUMMYFUNCTION("""COMPUTED_VALUE"""),10)</f>
        <v>10</v>
      </c>
      <c r="L7" s="23">
        <f ca="1">IFERROR(__xludf.DUMMYFUNCTION("""COMPUTED_VALUE"""),14)</f>
        <v>14</v>
      </c>
      <c r="M7" s="23">
        <f ca="1">IFERROR(__xludf.DUMMYFUNCTION("""COMPUTED_VALUE"""),0)</f>
        <v>0</v>
      </c>
      <c r="N7" s="23">
        <f ca="1">IFERROR(__xludf.DUMMYFUNCTION("""COMPUTED_VALUE"""),0)</f>
        <v>0</v>
      </c>
      <c r="O7" s="23">
        <f ca="1">IFERROR(__xludf.DUMMYFUNCTION("""COMPUTED_VALUE"""),0)</f>
        <v>0</v>
      </c>
      <c r="P7" s="23">
        <f ca="1">IFERROR(__xludf.DUMMYFUNCTION("""COMPUTED_VALUE"""),0)</f>
        <v>0</v>
      </c>
      <c r="Q7" s="23">
        <f ca="1">IFERROR(__xludf.DUMMYFUNCTION("""COMPUTED_VALUE"""),0)</f>
        <v>0</v>
      </c>
      <c r="R7" s="23">
        <f ca="1">IFERROR(__xludf.DUMMYFUNCTION("""COMPUTED_VALUE"""),0)</f>
        <v>0</v>
      </c>
      <c r="S7" s="23">
        <f ca="1">IFERROR(__xludf.DUMMYFUNCTION("""COMPUTED_VALUE"""),40)</f>
        <v>40</v>
      </c>
    </row>
    <row r="8" spans="1:19">
      <c r="A8" s="23" t="str">
        <f ca="1">IFERROR(__xludf.DUMMYFUNCTION("""COMPUTED_VALUE"""),"CAMBIOS DE NOMBRE DE TOMAS DE AGUA POTABLE")</f>
        <v>CAMBIOS DE NOMBRE DE TOMAS DE AGUA POTABLE</v>
      </c>
      <c r="B8" s="23">
        <f ca="1">IFERROR(__xludf.DUMMYFUNCTION("""COMPUTED_VALUE"""),1)</f>
        <v>1</v>
      </c>
      <c r="C8" s="23"/>
      <c r="D8" s="23" t="str">
        <f ca="1">IFERROR(__xludf.DUMMYFUNCTION("""COMPUTED_VALUE"""),"ASCENDENTE")</f>
        <v>ASCENDENTE</v>
      </c>
      <c r="E8" s="23" t="str">
        <f ca="1">IFERROR(__xludf.DUMMYFUNCTION("""COMPUTED_VALUE"""),"BITACORA OPERATIVA")</f>
        <v>BITACORA OPERATIVA</v>
      </c>
      <c r="F8" s="23">
        <f ca="1">IFERROR(__xludf.DUMMYFUNCTION("""COMPUTED_VALUE"""),0)</f>
        <v>0</v>
      </c>
      <c r="G8" s="23">
        <f ca="1">IFERROR(__xludf.DUMMYFUNCTION("""COMPUTED_VALUE"""),0)</f>
        <v>0</v>
      </c>
      <c r="H8" s="23">
        <f ca="1">IFERROR(__xludf.DUMMYFUNCTION("""COMPUTED_VALUE"""),0)</f>
        <v>0</v>
      </c>
      <c r="I8" s="23">
        <f ca="1">IFERROR(__xludf.DUMMYFUNCTION("""COMPUTED_VALUE"""),0)</f>
        <v>0</v>
      </c>
      <c r="J8" s="23">
        <f ca="1">IFERROR(__xludf.DUMMYFUNCTION("""COMPUTED_VALUE"""),14)</f>
        <v>14</v>
      </c>
      <c r="K8" s="23">
        <f ca="1">IFERROR(__xludf.DUMMYFUNCTION("""COMPUTED_VALUE"""),15)</f>
        <v>15</v>
      </c>
      <c r="L8" s="23">
        <f ca="1">IFERROR(__xludf.DUMMYFUNCTION("""COMPUTED_VALUE"""),4)</f>
        <v>4</v>
      </c>
      <c r="M8" s="23">
        <f ca="1">IFERROR(__xludf.DUMMYFUNCTION("""COMPUTED_VALUE"""),0)</f>
        <v>0</v>
      </c>
      <c r="N8" s="23">
        <f ca="1">IFERROR(__xludf.DUMMYFUNCTION("""COMPUTED_VALUE"""),0)</f>
        <v>0</v>
      </c>
      <c r="O8" s="23">
        <f ca="1">IFERROR(__xludf.DUMMYFUNCTION("""COMPUTED_VALUE"""),0)</f>
        <v>0</v>
      </c>
      <c r="P8" s="23">
        <f ca="1">IFERROR(__xludf.DUMMYFUNCTION("""COMPUTED_VALUE"""),0)</f>
        <v>0</v>
      </c>
      <c r="Q8" s="23">
        <f ca="1">IFERROR(__xludf.DUMMYFUNCTION("""COMPUTED_VALUE"""),0)</f>
        <v>0</v>
      </c>
      <c r="R8" s="23">
        <f ca="1">IFERROR(__xludf.DUMMYFUNCTION("""COMPUTED_VALUE"""),0)</f>
        <v>0</v>
      </c>
      <c r="S8" s="23">
        <f ca="1">IFERROR(__xludf.DUMMYFUNCTION("""COMPUTED_VALUE"""),33)</f>
        <v>33</v>
      </c>
    </row>
    <row r="9" spans="1:19">
      <c r="A9" s="23" t="str">
        <f ca="1">IFERROR(__xludf.DUMMYFUNCTION("""COMPUTED_VALUE"""),"NUEVAS TOMAS DE AGUA POTABLE(ZONA URBANA)")</f>
        <v>NUEVAS TOMAS DE AGUA POTABLE(ZONA URBANA)</v>
      </c>
      <c r="B9" s="23">
        <f ca="1">IFERROR(__xludf.DUMMYFUNCTION("""COMPUTED_VALUE"""),1)</f>
        <v>1</v>
      </c>
      <c r="C9" s="23"/>
      <c r="D9" s="23" t="str">
        <f ca="1">IFERROR(__xludf.DUMMYFUNCTION("""COMPUTED_VALUE"""),"ASCENDENTE")</f>
        <v>ASCENDENTE</v>
      </c>
      <c r="E9" s="23" t="str">
        <f ca="1">IFERROR(__xludf.DUMMYFUNCTION("""COMPUTED_VALUE"""),"BITACORA OPERATIVA")</f>
        <v>BITACORA OPERATIVA</v>
      </c>
      <c r="F9" s="23">
        <f ca="1">IFERROR(__xludf.DUMMYFUNCTION("""COMPUTED_VALUE"""),0)</f>
        <v>0</v>
      </c>
      <c r="G9" s="23">
        <f ca="1">IFERROR(__xludf.DUMMYFUNCTION("""COMPUTED_VALUE"""),0)</f>
        <v>0</v>
      </c>
      <c r="H9" s="23">
        <f ca="1">IFERROR(__xludf.DUMMYFUNCTION("""COMPUTED_VALUE"""),0)</f>
        <v>0</v>
      </c>
      <c r="I9" s="23">
        <f ca="1">IFERROR(__xludf.DUMMYFUNCTION("""COMPUTED_VALUE"""),0)</f>
        <v>0</v>
      </c>
      <c r="J9" s="23">
        <f ca="1">IFERROR(__xludf.DUMMYFUNCTION("""COMPUTED_VALUE"""),23)</f>
        <v>23</v>
      </c>
      <c r="K9" s="23">
        <f ca="1">IFERROR(__xludf.DUMMYFUNCTION("""COMPUTED_VALUE"""),34)</f>
        <v>34</v>
      </c>
      <c r="L9" s="23">
        <f ca="1">IFERROR(__xludf.DUMMYFUNCTION("""COMPUTED_VALUE"""),30)</f>
        <v>30</v>
      </c>
      <c r="M9" s="23">
        <f ca="1">IFERROR(__xludf.DUMMYFUNCTION("""COMPUTED_VALUE"""),0)</f>
        <v>0</v>
      </c>
      <c r="N9" s="23">
        <f ca="1">IFERROR(__xludf.DUMMYFUNCTION("""COMPUTED_VALUE"""),0)</f>
        <v>0</v>
      </c>
      <c r="O9" s="23">
        <f ca="1">IFERROR(__xludf.DUMMYFUNCTION("""COMPUTED_VALUE"""),0)</f>
        <v>0</v>
      </c>
      <c r="P9" s="23">
        <f ca="1">IFERROR(__xludf.DUMMYFUNCTION("""COMPUTED_VALUE"""),0)</f>
        <v>0</v>
      </c>
      <c r="Q9" s="23">
        <f ca="1">IFERROR(__xludf.DUMMYFUNCTION("""COMPUTED_VALUE"""),0)</f>
        <v>0</v>
      </c>
      <c r="R9" s="23">
        <f ca="1">IFERROR(__xludf.DUMMYFUNCTION("""COMPUTED_VALUE"""),0)</f>
        <v>0</v>
      </c>
      <c r="S9" s="23">
        <f ca="1">IFERROR(__xludf.DUMMYFUNCTION("""COMPUTED_VALUE"""),87)</f>
        <v>87</v>
      </c>
    </row>
    <row r="10" spans="1:19">
      <c r="A10" s="23" t="str">
        <f ca="1">IFERROR(__xludf.DUMMYFUNCTION("""COMPUTED_VALUE"""),"CAPTURA DE LECTURAS DE AGUA POTABLE")</f>
        <v>CAPTURA DE LECTURAS DE AGUA POTABLE</v>
      </c>
      <c r="B10" s="23">
        <f ca="1">IFERROR(__xludf.DUMMYFUNCTION("""COMPUTED_VALUE"""),1)</f>
        <v>1</v>
      </c>
      <c r="C10" s="23"/>
      <c r="D10" s="23" t="str">
        <f ca="1">IFERROR(__xludf.DUMMYFUNCTION("""COMPUTED_VALUE"""),"ASCENDENTE")</f>
        <v>ASCENDENTE</v>
      </c>
      <c r="E10" s="23" t="str">
        <f ca="1">IFERROR(__xludf.DUMMYFUNCTION("""COMPUTED_VALUE"""),"BITACORA OPERATIVA")</f>
        <v>BITACORA OPERATIVA</v>
      </c>
      <c r="F10" s="23">
        <f ca="1">IFERROR(__xludf.DUMMYFUNCTION("""COMPUTED_VALUE"""),0)</f>
        <v>0</v>
      </c>
      <c r="G10" s="23">
        <f ca="1">IFERROR(__xludf.DUMMYFUNCTION("""COMPUTED_VALUE"""),0)</f>
        <v>0</v>
      </c>
      <c r="H10" s="23">
        <f ca="1">IFERROR(__xludf.DUMMYFUNCTION("""COMPUTED_VALUE"""),0)</f>
        <v>0</v>
      </c>
      <c r="I10" s="23">
        <f ca="1">IFERROR(__xludf.DUMMYFUNCTION("""COMPUTED_VALUE"""),0)</f>
        <v>0</v>
      </c>
      <c r="J10" s="23">
        <f ca="1">IFERROR(__xludf.DUMMYFUNCTION("""COMPUTED_VALUE"""),16390)</f>
        <v>16390</v>
      </c>
      <c r="K10" s="23">
        <f ca="1">IFERROR(__xludf.DUMMYFUNCTION("""COMPUTED_VALUE"""),16390)</f>
        <v>16390</v>
      </c>
      <c r="L10" s="23">
        <f ca="1">IFERROR(__xludf.DUMMYFUNCTION("""COMPUTED_VALUE"""),16390)</f>
        <v>16390</v>
      </c>
      <c r="M10" s="23">
        <f ca="1">IFERROR(__xludf.DUMMYFUNCTION("""COMPUTED_VALUE"""),0)</f>
        <v>0</v>
      </c>
      <c r="N10" s="23">
        <f ca="1">IFERROR(__xludf.DUMMYFUNCTION("""COMPUTED_VALUE"""),0)</f>
        <v>0</v>
      </c>
      <c r="O10" s="23">
        <f ca="1">IFERROR(__xludf.DUMMYFUNCTION("""COMPUTED_VALUE"""),0)</f>
        <v>0</v>
      </c>
      <c r="P10" s="23">
        <f ca="1">IFERROR(__xludf.DUMMYFUNCTION("""COMPUTED_VALUE"""),0)</f>
        <v>0</v>
      </c>
      <c r="Q10" s="23">
        <f ca="1">IFERROR(__xludf.DUMMYFUNCTION("""COMPUTED_VALUE"""),0)</f>
        <v>0</v>
      </c>
      <c r="R10" s="23">
        <f ca="1">IFERROR(__xludf.DUMMYFUNCTION("""COMPUTED_VALUE"""),0)</f>
        <v>0</v>
      </c>
      <c r="S10" s="23">
        <f ca="1">IFERROR(__xludf.DUMMYFUNCTION("""COMPUTED_VALUE"""),49170)</f>
        <v>49170</v>
      </c>
    </row>
    <row r="11" spans="1:19">
      <c r="A11" s="23" t="str">
        <f ca="1">IFERROR(__xludf.DUMMYFUNCTION("""COMPUTED_VALUE"""),"SOLICITUDES DE PIPAS")</f>
        <v>SOLICITUDES DE PIPAS</v>
      </c>
      <c r="B11" s="23">
        <f ca="1">IFERROR(__xludf.DUMMYFUNCTION("""COMPUTED_VALUE"""),1)</f>
        <v>1</v>
      </c>
      <c r="C11" s="23"/>
      <c r="D11" s="23" t="str">
        <f ca="1">IFERROR(__xludf.DUMMYFUNCTION("""COMPUTED_VALUE"""),"ASCENDENTE")</f>
        <v>ASCENDENTE</v>
      </c>
      <c r="E11" s="23" t="str">
        <f ca="1">IFERROR(__xludf.DUMMYFUNCTION("""COMPUTED_VALUE"""),"BITACORA OPERATIVA")</f>
        <v>BITACORA OPERATIVA</v>
      </c>
      <c r="F11" s="23">
        <f ca="1">IFERROR(__xludf.DUMMYFUNCTION("""COMPUTED_VALUE"""),0)</f>
        <v>0</v>
      </c>
      <c r="G11" s="23">
        <f ca="1">IFERROR(__xludf.DUMMYFUNCTION("""COMPUTED_VALUE"""),0)</f>
        <v>0</v>
      </c>
      <c r="H11" s="23">
        <f ca="1">IFERROR(__xludf.DUMMYFUNCTION("""COMPUTED_VALUE"""),0)</f>
        <v>0</v>
      </c>
      <c r="I11" s="23">
        <f ca="1">IFERROR(__xludf.DUMMYFUNCTION("""COMPUTED_VALUE"""),0)</f>
        <v>0</v>
      </c>
      <c r="J11" s="23">
        <f ca="1">IFERROR(__xludf.DUMMYFUNCTION("""COMPUTED_VALUE"""),62)</f>
        <v>62</v>
      </c>
      <c r="K11" s="23">
        <f ca="1">IFERROR(__xludf.DUMMYFUNCTION("""COMPUTED_VALUE"""),43)</f>
        <v>43</v>
      </c>
      <c r="L11" s="23">
        <f ca="1">IFERROR(__xludf.DUMMYFUNCTION("""COMPUTED_VALUE"""),67)</f>
        <v>67</v>
      </c>
      <c r="M11" s="23">
        <f ca="1">IFERROR(__xludf.DUMMYFUNCTION("""COMPUTED_VALUE"""),0)</f>
        <v>0</v>
      </c>
      <c r="N11" s="23">
        <f ca="1">IFERROR(__xludf.DUMMYFUNCTION("""COMPUTED_VALUE"""),0)</f>
        <v>0</v>
      </c>
      <c r="O11" s="23">
        <f ca="1">IFERROR(__xludf.DUMMYFUNCTION("""COMPUTED_VALUE"""),0)</f>
        <v>0</v>
      </c>
      <c r="P11" s="23">
        <f ca="1">IFERROR(__xludf.DUMMYFUNCTION("""COMPUTED_VALUE"""),0)</f>
        <v>0</v>
      </c>
      <c r="Q11" s="23">
        <f ca="1">IFERROR(__xludf.DUMMYFUNCTION("""COMPUTED_VALUE"""),0)</f>
        <v>0</v>
      </c>
      <c r="R11" s="23">
        <f ca="1">IFERROR(__xludf.DUMMYFUNCTION("""COMPUTED_VALUE"""),0)</f>
        <v>0</v>
      </c>
      <c r="S11" s="23">
        <f ca="1">IFERROR(__xludf.DUMMYFUNCTION("""COMPUTED_VALUE"""),172)</f>
        <v>172</v>
      </c>
    </row>
    <row r="12" spans="1:19">
      <c r="A12" s="23" t="str">
        <f ca="1">IFERROR(__xludf.DUMMYFUNCTION("""COMPUTED_VALUE"""),"PIPAS ENTREGADAS")</f>
        <v>PIPAS ENTREGADAS</v>
      </c>
      <c r="B12" s="23">
        <f ca="1">IFERROR(__xludf.DUMMYFUNCTION("""COMPUTED_VALUE"""),1)</f>
        <v>1</v>
      </c>
      <c r="C12" s="23"/>
      <c r="D12" s="23" t="str">
        <f ca="1">IFERROR(__xludf.DUMMYFUNCTION("""COMPUTED_VALUE"""),"ASCENDENTE")</f>
        <v>ASCENDENTE</v>
      </c>
      <c r="E12" s="23" t="str">
        <f ca="1">IFERROR(__xludf.DUMMYFUNCTION("""COMPUTED_VALUE"""),"BITACORA OPERATIVA")</f>
        <v>BITACORA OPERATIVA</v>
      </c>
      <c r="F12" s="23">
        <f ca="1">IFERROR(__xludf.DUMMYFUNCTION("""COMPUTED_VALUE"""),0)</f>
        <v>0</v>
      </c>
      <c r="G12" s="23">
        <f ca="1">IFERROR(__xludf.DUMMYFUNCTION("""COMPUTED_VALUE"""),0)</f>
        <v>0</v>
      </c>
      <c r="H12" s="23">
        <f ca="1">IFERROR(__xludf.DUMMYFUNCTION("""COMPUTED_VALUE"""),0)</f>
        <v>0</v>
      </c>
      <c r="I12" s="23">
        <f ca="1">IFERROR(__xludf.DUMMYFUNCTION("""COMPUTED_VALUE"""),0)</f>
        <v>0</v>
      </c>
      <c r="J12" s="23">
        <f ca="1">IFERROR(__xludf.DUMMYFUNCTION("""COMPUTED_VALUE"""),0)</f>
        <v>0</v>
      </c>
      <c r="K12" s="23">
        <f ca="1">IFERROR(__xludf.DUMMYFUNCTION("""COMPUTED_VALUE"""),0)</f>
        <v>0</v>
      </c>
      <c r="L12" s="23">
        <f ca="1">IFERROR(__xludf.DUMMYFUNCTION("""COMPUTED_VALUE"""),0)</f>
        <v>0</v>
      </c>
      <c r="M12" s="23">
        <f ca="1">IFERROR(__xludf.DUMMYFUNCTION("""COMPUTED_VALUE"""),0)</f>
        <v>0</v>
      </c>
      <c r="N12" s="23">
        <f ca="1">IFERROR(__xludf.DUMMYFUNCTION("""COMPUTED_VALUE"""),0)</f>
        <v>0</v>
      </c>
      <c r="O12" s="23">
        <f ca="1">IFERROR(__xludf.DUMMYFUNCTION("""COMPUTED_VALUE"""),0)</f>
        <v>0</v>
      </c>
      <c r="P12" s="23">
        <f ca="1">IFERROR(__xludf.DUMMYFUNCTION("""COMPUTED_VALUE"""),0)</f>
        <v>0</v>
      </c>
      <c r="Q12" s="23">
        <f ca="1">IFERROR(__xludf.DUMMYFUNCTION("""COMPUTED_VALUE"""),0)</f>
        <v>0</v>
      </c>
      <c r="R12" s="23">
        <f ca="1">IFERROR(__xludf.DUMMYFUNCTION("""COMPUTED_VALUE"""),0)</f>
        <v>0</v>
      </c>
      <c r="S12" s="23">
        <f ca="1">IFERROR(__xludf.DUMMYFUNCTION("""COMPUTED_VALUE"""),0)</f>
        <v>0</v>
      </c>
    </row>
    <row r="13" spans="1:19">
      <c r="A13" s="23" t="str">
        <f ca="1">IFERROR(__xludf.DUMMYFUNCTION("""COMPUTED_VALUE"""),"CERTIFICADOS DE NO ADEUDO")</f>
        <v>CERTIFICADOS DE NO ADEUDO</v>
      </c>
      <c r="B13" s="23">
        <f ca="1">IFERROR(__xludf.DUMMYFUNCTION("""COMPUTED_VALUE"""),1)</f>
        <v>1</v>
      </c>
      <c r="C13" s="23"/>
      <c r="D13" s="23" t="str">
        <f ca="1">IFERROR(__xludf.DUMMYFUNCTION("""COMPUTED_VALUE"""),"ASCENDENTE")</f>
        <v>ASCENDENTE</v>
      </c>
      <c r="E13" s="23" t="str">
        <f ca="1">IFERROR(__xludf.DUMMYFUNCTION("""COMPUTED_VALUE"""),"BITACORA OPERATIVA")</f>
        <v>BITACORA OPERATIVA</v>
      </c>
      <c r="F13" s="23">
        <f ca="1">IFERROR(__xludf.DUMMYFUNCTION("""COMPUTED_VALUE"""),0)</f>
        <v>0</v>
      </c>
      <c r="G13" s="23">
        <f ca="1">IFERROR(__xludf.DUMMYFUNCTION("""COMPUTED_VALUE"""),0)</f>
        <v>0</v>
      </c>
      <c r="H13" s="23">
        <f ca="1">IFERROR(__xludf.DUMMYFUNCTION("""COMPUTED_VALUE"""),0)</f>
        <v>0</v>
      </c>
      <c r="I13" s="23">
        <f ca="1">IFERROR(__xludf.DUMMYFUNCTION("""COMPUTED_VALUE"""),0)</f>
        <v>0</v>
      </c>
      <c r="J13" s="23">
        <f ca="1">IFERROR(__xludf.DUMMYFUNCTION("""COMPUTED_VALUE"""),3)</f>
        <v>3</v>
      </c>
      <c r="K13" s="23">
        <f ca="1">IFERROR(__xludf.DUMMYFUNCTION("""COMPUTED_VALUE"""),2)</f>
        <v>2</v>
      </c>
      <c r="L13" s="23">
        <f ca="1">IFERROR(__xludf.DUMMYFUNCTION("""COMPUTED_VALUE"""),4)</f>
        <v>4</v>
      </c>
      <c r="M13" s="23">
        <f ca="1">IFERROR(__xludf.DUMMYFUNCTION("""COMPUTED_VALUE"""),0)</f>
        <v>0</v>
      </c>
      <c r="N13" s="23">
        <f ca="1">IFERROR(__xludf.DUMMYFUNCTION("""COMPUTED_VALUE"""),0)</f>
        <v>0</v>
      </c>
      <c r="O13" s="23">
        <f ca="1">IFERROR(__xludf.DUMMYFUNCTION("""COMPUTED_VALUE"""),0)</f>
        <v>0</v>
      </c>
      <c r="P13" s="23">
        <f ca="1">IFERROR(__xludf.DUMMYFUNCTION("""COMPUTED_VALUE"""),0)</f>
        <v>0</v>
      </c>
      <c r="Q13" s="23">
        <f ca="1">IFERROR(__xludf.DUMMYFUNCTION("""COMPUTED_VALUE"""),0)</f>
        <v>0</v>
      </c>
      <c r="R13" s="23">
        <f ca="1">IFERROR(__xludf.DUMMYFUNCTION("""COMPUTED_VALUE"""),0)</f>
        <v>0</v>
      </c>
      <c r="S13" s="23">
        <f ca="1">IFERROR(__xludf.DUMMYFUNCTION("""COMPUTED_VALUE"""),9)</f>
        <v>9</v>
      </c>
    </row>
    <row r="14" spans="1:19">
      <c r="A14" s="23" t="str">
        <f ca="1">IFERROR(__xludf.DUMMYFUNCTION("""COMPUTED_VALUE"""),"SOLICITUDES DE VERIFICACIÓN DOMICILIARIA (EFICIENCIA DEL SERVICIO)")</f>
        <v>SOLICITUDES DE VERIFICACIÓN DOMICILIARIA (EFICIENCIA DEL SERVICIO)</v>
      </c>
      <c r="B14" s="23">
        <f ca="1">IFERROR(__xludf.DUMMYFUNCTION("""COMPUTED_VALUE"""),1)</f>
        <v>1</v>
      </c>
      <c r="C14" s="23"/>
      <c r="D14" s="23" t="str">
        <f ca="1">IFERROR(__xludf.DUMMYFUNCTION("""COMPUTED_VALUE"""),"ASCENDENTE")</f>
        <v>ASCENDENTE</v>
      </c>
      <c r="E14" s="23" t="str">
        <f ca="1">IFERROR(__xludf.DUMMYFUNCTION("""COMPUTED_VALUE"""),"BITACORA OPERATIVA")</f>
        <v>BITACORA OPERATIVA</v>
      </c>
      <c r="F14" s="23">
        <f ca="1">IFERROR(__xludf.DUMMYFUNCTION("""COMPUTED_VALUE"""),0)</f>
        <v>0</v>
      </c>
      <c r="G14" s="23">
        <f ca="1">IFERROR(__xludf.DUMMYFUNCTION("""COMPUTED_VALUE"""),0)</f>
        <v>0</v>
      </c>
      <c r="H14" s="23">
        <f ca="1">IFERROR(__xludf.DUMMYFUNCTION("""COMPUTED_VALUE"""),0)</f>
        <v>0</v>
      </c>
      <c r="I14" s="23">
        <f ca="1">IFERROR(__xludf.DUMMYFUNCTION("""COMPUTED_VALUE"""),0)</f>
        <v>0</v>
      </c>
      <c r="J14" s="23">
        <f ca="1">IFERROR(__xludf.DUMMYFUNCTION("""COMPUTED_VALUE"""),31)</f>
        <v>31</v>
      </c>
      <c r="K14" s="23">
        <f ca="1">IFERROR(__xludf.DUMMYFUNCTION("""COMPUTED_VALUE"""),13)</f>
        <v>13</v>
      </c>
      <c r="L14" s="23">
        <f ca="1">IFERROR(__xludf.DUMMYFUNCTION("""COMPUTED_VALUE"""),19)</f>
        <v>19</v>
      </c>
      <c r="M14" s="23">
        <f ca="1">IFERROR(__xludf.DUMMYFUNCTION("""COMPUTED_VALUE"""),0)</f>
        <v>0</v>
      </c>
      <c r="N14" s="23">
        <f ca="1">IFERROR(__xludf.DUMMYFUNCTION("""COMPUTED_VALUE"""),0)</f>
        <v>0</v>
      </c>
      <c r="O14" s="23">
        <f ca="1">IFERROR(__xludf.DUMMYFUNCTION("""COMPUTED_VALUE"""),0)</f>
        <v>0</v>
      </c>
      <c r="P14" s="23">
        <f ca="1">IFERROR(__xludf.DUMMYFUNCTION("""COMPUTED_VALUE"""),0)</f>
        <v>0</v>
      </c>
      <c r="Q14" s="23">
        <f ca="1">IFERROR(__xludf.DUMMYFUNCTION("""COMPUTED_VALUE"""),0)</f>
        <v>0</v>
      </c>
      <c r="R14" s="23">
        <f ca="1">IFERROR(__xludf.DUMMYFUNCTION("""COMPUTED_VALUE"""),0)</f>
        <v>0</v>
      </c>
      <c r="S14" s="23">
        <f ca="1">IFERROR(__xludf.DUMMYFUNCTION("""COMPUTED_VALUE"""),63)</f>
        <v>63</v>
      </c>
    </row>
    <row r="15" spans="1:19">
      <c r="A15" s="23" t="str">
        <f ca="1">IFERROR(__xludf.DUMMYFUNCTION("""COMPUTED_VALUE"""),"INEXISTENCIAS DE TOMAS")</f>
        <v>INEXISTENCIAS DE TOMAS</v>
      </c>
      <c r="B15" s="23">
        <f ca="1">IFERROR(__xludf.DUMMYFUNCTION("""COMPUTED_VALUE"""),1)</f>
        <v>1</v>
      </c>
      <c r="C15" s="23"/>
      <c r="D15" s="23" t="str">
        <f ca="1">IFERROR(__xludf.DUMMYFUNCTION("""COMPUTED_VALUE"""),"ASCENDENTE")</f>
        <v>ASCENDENTE</v>
      </c>
      <c r="E15" s="23" t="str">
        <f ca="1">IFERROR(__xludf.DUMMYFUNCTION("""COMPUTED_VALUE"""),"BITACORA OPERATIVA")</f>
        <v>BITACORA OPERATIVA</v>
      </c>
      <c r="F15" s="23">
        <f ca="1">IFERROR(__xludf.DUMMYFUNCTION("""COMPUTED_VALUE"""),0)</f>
        <v>0</v>
      </c>
      <c r="G15" s="23">
        <f ca="1">IFERROR(__xludf.DUMMYFUNCTION("""COMPUTED_VALUE"""),0)</f>
        <v>0</v>
      </c>
      <c r="H15" s="23">
        <f ca="1">IFERROR(__xludf.DUMMYFUNCTION("""COMPUTED_VALUE"""),0)</f>
        <v>0</v>
      </c>
      <c r="I15" s="23">
        <f ca="1">IFERROR(__xludf.DUMMYFUNCTION("""COMPUTED_VALUE"""),0)</f>
        <v>0</v>
      </c>
      <c r="J15" s="23">
        <f ca="1">IFERROR(__xludf.DUMMYFUNCTION("""COMPUTED_VALUE"""),107)</f>
        <v>107</v>
      </c>
      <c r="K15" s="23">
        <f ca="1">IFERROR(__xludf.DUMMYFUNCTION("""COMPUTED_VALUE"""),133)</f>
        <v>133</v>
      </c>
      <c r="L15" s="23">
        <f ca="1">IFERROR(__xludf.DUMMYFUNCTION("""COMPUTED_VALUE"""),94)</f>
        <v>94</v>
      </c>
      <c r="M15" s="23">
        <f ca="1">IFERROR(__xludf.DUMMYFUNCTION("""COMPUTED_VALUE"""),0)</f>
        <v>0</v>
      </c>
      <c r="N15" s="23">
        <f ca="1">IFERROR(__xludf.DUMMYFUNCTION("""COMPUTED_VALUE"""),0)</f>
        <v>0</v>
      </c>
      <c r="O15" s="23">
        <f ca="1">IFERROR(__xludf.DUMMYFUNCTION("""COMPUTED_VALUE"""),0)</f>
        <v>0</v>
      </c>
      <c r="P15" s="23">
        <f ca="1">IFERROR(__xludf.DUMMYFUNCTION("""COMPUTED_VALUE"""),0)</f>
        <v>0</v>
      </c>
      <c r="Q15" s="23">
        <f ca="1">IFERROR(__xludf.DUMMYFUNCTION("""COMPUTED_VALUE"""),0)</f>
        <v>0</v>
      </c>
      <c r="R15" s="23">
        <f ca="1">IFERROR(__xludf.DUMMYFUNCTION("""COMPUTED_VALUE"""),0)</f>
        <v>0</v>
      </c>
      <c r="S15" s="23">
        <f ca="1">IFERROR(__xludf.DUMMYFUNCTION("""COMPUTED_VALUE"""),334)</f>
        <v>334</v>
      </c>
    </row>
    <row r="16" spans="1:19">
      <c r="A16" s="23" t="str">
        <f ca="1">IFERROR(__xludf.DUMMYFUNCTION("""COMPUTED_VALUE"""),"VERIFICACIÓN DE DRENAJE EN FRACCIONAMIENTOS NUEVOS")</f>
        <v>VERIFICACIÓN DE DRENAJE EN FRACCIONAMIENTOS NUEVOS</v>
      </c>
      <c r="B16" s="23">
        <f ca="1">IFERROR(__xludf.DUMMYFUNCTION("""COMPUTED_VALUE"""),1)</f>
        <v>1</v>
      </c>
      <c r="C16" s="23"/>
      <c r="D16" s="23" t="str">
        <f ca="1">IFERROR(__xludf.DUMMYFUNCTION("""COMPUTED_VALUE"""),"ASCENDENTE")</f>
        <v>ASCENDENTE</v>
      </c>
      <c r="E16" s="23" t="str">
        <f ca="1">IFERROR(__xludf.DUMMYFUNCTION("""COMPUTED_VALUE"""),"BITACORA OPERATIVA")</f>
        <v>BITACORA OPERATIVA</v>
      </c>
      <c r="F16" s="23">
        <f ca="1">IFERROR(__xludf.DUMMYFUNCTION("""COMPUTED_VALUE"""),0)</f>
        <v>0</v>
      </c>
      <c r="G16" s="23">
        <f ca="1">IFERROR(__xludf.DUMMYFUNCTION("""COMPUTED_VALUE"""),0)</f>
        <v>0</v>
      </c>
      <c r="H16" s="23">
        <f ca="1">IFERROR(__xludf.DUMMYFUNCTION("""COMPUTED_VALUE"""),0)</f>
        <v>0</v>
      </c>
      <c r="I16" s="23">
        <f ca="1">IFERROR(__xludf.DUMMYFUNCTION("""COMPUTED_VALUE"""),0)</f>
        <v>0</v>
      </c>
      <c r="J16" s="23">
        <f ca="1">IFERROR(__xludf.DUMMYFUNCTION("""COMPUTED_VALUE"""),0)</f>
        <v>0</v>
      </c>
      <c r="K16" s="23">
        <f ca="1">IFERROR(__xludf.DUMMYFUNCTION("""COMPUTED_VALUE"""),0)</f>
        <v>0</v>
      </c>
      <c r="L16" s="23">
        <f ca="1">IFERROR(__xludf.DUMMYFUNCTION("""COMPUTED_VALUE"""),3)</f>
        <v>3</v>
      </c>
      <c r="M16" s="23">
        <f ca="1">IFERROR(__xludf.DUMMYFUNCTION("""COMPUTED_VALUE"""),0)</f>
        <v>0</v>
      </c>
      <c r="N16" s="23">
        <f ca="1">IFERROR(__xludf.DUMMYFUNCTION("""COMPUTED_VALUE"""),0)</f>
        <v>0</v>
      </c>
      <c r="O16" s="23">
        <f ca="1">IFERROR(__xludf.DUMMYFUNCTION("""COMPUTED_VALUE"""),0)</f>
        <v>0</v>
      </c>
      <c r="P16" s="23">
        <f ca="1">IFERROR(__xludf.DUMMYFUNCTION("""COMPUTED_VALUE"""),0)</f>
        <v>0</v>
      </c>
      <c r="Q16" s="23">
        <f ca="1">IFERROR(__xludf.DUMMYFUNCTION("""COMPUTED_VALUE"""),0)</f>
        <v>0</v>
      </c>
      <c r="R16" s="23">
        <f ca="1">IFERROR(__xludf.DUMMYFUNCTION("""COMPUTED_VALUE"""),0)</f>
        <v>0</v>
      </c>
      <c r="S16" s="23">
        <f ca="1">IFERROR(__xludf.DUMMYFUNCTION("""COMPUTED_VALUE"""),3)</f>
        <v>3</v>
      </c>
    </row>
    <row r="17" spans="1:19">
      <c r="A17" s="23" t="str">
        <f ca="1">IFERROR(__xludf.DUMMYFUNCTION("""COMPUTED_VALUE"""),"HABILITACIÓN DE REDES NUEVAS DE AGUA POTABLE")</f>
        <v>HABILITACIÓN DE REDES NUEVAS DE AGUA POTABLE</v>
      </c>
      <c r="B17" s="23">
        <f ca="1">IFERROR(__xludf.DUMMYFUNCTION("""COMPUTED_VALUE"""),1)</f>
        <v>1</v>
      </c>
      <c r="C17" s="23"/>
      <c r="D17" s="23" t="str">
        <f ca="1">IFERROR(__xludf.DUMMYFUNCTION("""COMPUTED_VALUE"""),"ASCENDENTE")</f>
        <v>ASCENDENTE</v>
      </c>
      <c r="E17" s="23" t="str">
        <f ca="1">IFERROR(__xludf.DUMMYFUNCTION("""COMPUTED_VALUE"""),"BITACORA OPERATIVA")</f>
        <v>BITACORA OPERATIVA</v>
      </c>
      <c r="F17" s="23">
        <f ca="1">IFERROR(__xludf.DUMMYFUNCTION("""COMPUTED_VALUE"""),0)</f>
        <v>0</v>
      </c>
      <c r="G17" s="23">
        <f ca="1">IFERROR(__xludf.DUMMYFUNCTION("""COMPUTED_VALUE"""),0)</f>
        <v>0</v>
      </c>
      <c r="H17" s="23">
        <f ca="1">IFERROR(__xludf.DUMMYFUNCTION("""COMPUTED_VALUE"""),0)</f>
        <v>0</v>
      </c>
      <c r="I17" s="23">
        <f ca="1">IFERROR(__xludf.DUMMYFUNCTION("""COMPUTED_VALUE"""),0)</f>
        <v>0</v>
      </c>
      <c r="J17" s="23">
        <f ca="1">IFERROR(__xludf.DUMMYFUNCTION("""COMPUTED_VALUE"""),7)</f>
        <v>7</v>
      </c>
      <c r="K17" s="23">
        <f ca="1">IFERROR(__xludf.DUMMYFUNCTION("""COMPUTED_VALUE"""),6)</f>
        <v>6</v>
      </c>
      <c r="L17" s="23">
        <f ca="1">IFERROR(__xludf.DUMMYFUNCTION("""COMPUTED_VALUE"""),10)</f>
        <v>10</v>
      </c>
      <c r="M17" s="23">
        <f ca="1">IFERROR(__xludf.DUMMYFUNCTION("""COMPUTED_VALUE"""),0)</f>
        <v>0</v>
      </c>
      <c r="N17" s="23">
        <f ca="1">IFERROR(__xludf.DUMMYFUNCTION("""COMPUTED_VALUE"""),0)</f>
        <v>0</v>
      </c>
      <c r="O17" s="23">
        <f ca="1">IFERROR(__xludf.DUMMYFUNCTION("""COMPUTED_VALUE"""),0)</f>
        <v>0</v>
      </c>
      <c r="P17" s="23">
        <f ca="1">IFERROR(__xludf.DUMMYFUNCTION("""COMPUTED_VALUE"""),0)</f>
        <v>0</v>
      </c>
      <c r="Q17" s="23">
        <f ca="1">IFERROR(__xludf.DUMMYFUNCTION("""COMPUTED_VALUE"""),0)</f>
        <v>0</v>
      </c>
      <c r="R17" s="23">
        <f ca="1">IFERROR(__xludf.DUMMYFUNCTION("""COMPUTED_VALUE"""),0)</f>
        <v>0</v>
      </c>
      <c r="S17" s="23">
        <f ca="1">IFERROR(__xludf.DUMMYFUNCTION("""COMPUTED_VALUE"""),23)</f>
        <v>23</v>
      </c>
    </row>
    <row r="18" spans="1:19">
      <c r="A18" s="23" t="str">
        <f ca="1">IFERROR(__xludf.DUMMYFUNCTION("""COMPUTED_VALUE"""),"INSTALACIÓN Y REHABILITACIÓN DE SANITARIOS")</f>
        <v>INSTALACIÓN Y REHABILITACIÓN DE SANITARIOS</v>
      </c>
      <c r="B18" s="23">
        <f ca="1">IFERROR(__xludf.DUMMYFUNCTION("""COMPUTED_VALUE"""),1)</f>
        <v>1</v>
      </c>
      <c r="C18" s="23"/>
      <c r="D18" s="23" t="str">
        <f ca="1">IFERROR(__xludf.DUMMYFUNCTION("""COMPUTED_VALUE"""),"ASCENDENTE")</f>
        <v>ASCENDENTE</v>
      </c>
      <c r="E18" s="23" t="str">
        <f ca="1">IFERROR(__xludf.DUMMYFUNCTION("""COMPUTED_VALUE"""),"BITACORA OPERATIVA")</f>
        <v>BITACORA OPERATIVA</v>
      </c>
      <c r="F18" s="23">
        <f ca="1">IFERROR(__xludf.DUMMYFUNCTION("""COMPUTED_VALUE"""),0)</f>
        <v>0</v>
      </c>
      <c r="G18" s="23">
        <f ca="1">IFERROR(__xludf.DUMMYFUNCTION("""COMPUTED_VALUE"""),0)</f>
        <v>0</v>
      </c>
      <c r="H18" s="23">
        <f ca="1">IFERROR(__xludf.DUMMYFUNCTION("""COMPUTED_VALUE"""),0)</f>
        <v>0</v>
      </c>
      <c r="I18" s="23">
        <f ca="1">IFERROR(__xludf.DUMMYFUNCTION("""COMPUTED_VALUE"""),0)</f>
        <v>0</v>
      </c>
      <c r="J18" s="23">
        <f ca="1">IFERROR(__xludf.DUMMYFUNCTION("""COMPUTED_VALUE"""),1)</f>
        <v>1</v>
      </c>
      <c r="K18" s="23">
        <f ca="1">IFERROR(__xludf.DUMMYFUNCTION("""COMPUTED_VALUE"""),1)</f>
        <v>1</v>
      </c>
      <c r="L18" s="23">
        <f ca="1">IFERROR(__xludf.DUMMYFUNCTION("""COMPUTED_VALUE"""),2)</f>
        <v>2</v>
      </c>
      <c r="M18" s="23">
        <f ca="1">IFERROR(__xludf.DUMMYFUNCTION("""COMPUTED_VALUE"""),0)</f>
        <v>0</v>
      </c>
      <c r="N18" s="23">
        <f ca="1">IFERROR(__xludf.DUMMYFUNCTION("""COMPUTED_VALUE"""),0)</f>
        <v>0</v>
      </c>
      <c r="O18" s="23">
        <f ca="1">IFERROR(__xludf.DUMMYFUNCTION("""COMPUTED_VALUE"""),0)</f>
        <v>0</v>
      </c>
      <c r="P18" s="23">
        <f ca="1">IFERROR(__xludf.DUMMYFUNCTION("""COMPUTED_VALUE"""),0)</f>
        <v>0</v>
      </c>
      <c r="Q18" s="23">
        <f ca="1">IFERROR(__xludf.DUMMYFUNCTION("""COMPUTED_VALUE"""),0)</f>
        <v>0</v>
      </c>
      <c r="R18" s="23">
        <f ca="1">IFERROR(__xludf.DUMMYFUNCTION("""COMPUTED_VALUE"""),0)</f>
        <v>0</v>
      </c>
      <c r="S18" s="23">
        <f ca="1">IFERROR(__xludf.DUMMYFUNCTION("""COMPUTED_VALUE"""),4)</f>
        <v>4</v>
      </c>
    </row>
    <row r="19" spans="1:19">
      <c r="A19" s="23" t="str">
        <f ca="1">IFERROR(__xludf.DUMMYFUNCTION("""COMPUTED_VALUE""")," MANTENIMIENTO A BOMBAS DE AGUA")</f>
        <v xml:space="preserve"> MANTENIMIENTO A BOMBAS DE AGUA</v>
      </c>
      <c r="B19" s="23">
        <f ca="1">IFERROR(__xludf.DUMMYFUNCTION("""COMPUTED_VALUE"""),1)</f>
        <v>1</v>
      </c>
      <c r="C19" s="23"/>
      <c r="D19" s="23" t="str">
        <f ca="1">IFERROR(__xludf.DUMMYFUNCTION("""COMPUTED_VALUE"""),"ASCENDENTE")</f>
        <v>ASCENDENTE</v>
      </c>
      <c r="E19" s="23" t="str">
        <f ca="1">IFERROR(__xludf.DUMMYFUNCTION("""COMPUTED_VALUE"""),"BITACORA OPERATIVA")</f>
        <v>BITACORA OPERATIVA</v>
      </c>
      <c r="F19" s="23">
        <f ca="1">IFERROR(__xludf.DUMMYFUNCTION("""COMPUTED_VALUE"""),0)</f>
        <v>0</v>
      </c>
      <c r="G19" s="23">
        <f ca="1">IFERROR(__xludf.DUMMYFUNCTION("""COMPUTED_VALUE"""),0)</f>
        <v>0</v>
      </c>
      <c r="H19" s="23">
        <f ca="1">IFERROR(__xludf.DUMMYFUNCTION("""COMPUTED_VALUE"""),0)</f>
        <v>0</v>
      </c>
      <c r="I19" s="23">
        <f ca="1">IFERROR(__xludf.DUMMYFUNCTION("""COMPUTED_VALUE"""),0)</f>
        <v>0</v>
      </c>
      <c r="J19" s="23">
        <f ca="1">IFERROR(__xludf.DUMMYFUNCTION("""COMPUTED_VALUE"""),3)</f>
        <v>3</v>
      </c>
      <c r="K19" s="23">
        <f ca="1">IFERROR(__xludf.DUMMYFUNCTION("""COMPUTED_VALUE"""),4)</f>
        <v>4</v>
      </c>
      <c r="L19" s="23">
        <f ca="1">IFERROR(__xludf.DUMMYFUNCTION("""COMPUTED_VALUE"""),2)</f>
        <v>2</v>
      </c>
      <c r="M19" s="23">
        <f ca="1">IFERROR(__xludf.DUMMYFUNCTION("""COMPUTED_VALUE"""),0)</f>
        <v>0</v>
      </c>
      <c r="N19" s="23">
        <f ca="1">IFERROR(__xludf.DUMMYFUNCTION("""COMPUTED_VALUE"""),0)</f>
        <v>0</v>
      </c>
      <c r="O19" s="23">
        <f ca="1">IFERROR(__xludf.DUMMYFUNCTION("""COMPUTED_VALUE"""),0)</f>
        <v>0</v>
      </c>
      <c r="P19" s="23">
        <f ca="1">IFERROR(__xludf.DUMMYFUNCTION("""COMPUTED_VALUE"""),0)</f>
        <v>0</v>
      </c>
      <c r="Q19" s="23">
        <f ca="1">IFERROR(__xludf.DUMMYFUNCTION("""COMPUTED_VALUE"""),0)</f>
        <v>0</v>
      </c>
      <c r="R19" s="23">
        <f ca="1">IFERROR(__xludf.DUMMYFUNCTION("""COMPUTED_VALUE"""),0)</f>
        <v>0</v>
      </c>
      <c r="S19" s="23">
        <f ca="1">IFERROR(__xludf.DUMMYFUNCTION("""COMPUTED_VALUE"""),9)</f>
        <v>9</v>
      </c>
    </row>
    <row r="20" spans="1:19">
      <c r="A20" s="23" t="str">
        <f ca="1">IFERROR(__xludf.DUMMYFUNCTION("""COMPUTED_VALUE"""),"REPARACION DE FUGAS DE DRENAJE")</f>
        <v>REPARACION DE FUGAS DE DRENAJE</v>
      </c>
      <c r="B20" s="23">
        <f ca="1">IFERROR(__xludf.DUMMYFUNCTION("""COMPUTED_VALUE"""),1)</f>
        <v>1</v>
      </c>
      <c r="C20" s="23"/>
      <c r="D20" s="23" t="str">
        <f ca="1">IFERROR(__xludf.DUMMYFUNCTION("""COMPUTED_VALUE"""),"ASCENDENTE")</f>
        <v>ASCENDENTE</v>
      </c>
      <c r="E20" s="23" t="str">
        <f ca="1">IFERROR(__xludf.DUMMYFUNCTION("""COMPUTED_VALUE"""),"BITACORA OPERATIVA")</f>
        <v>BITACORA OPERATIVA</v>
      </c>
      <c r="F20" s="23">
        <f ca="1">IFERROR(__xludf.DUMMYFUNCTION("""COMPUTED_VALUE"""),0)</f>
        <v>0</v>
      </c>
      <c r="G20" s="23">
        <f ca="1">IFERROR(__xludf.DUMMYFUNCTION("""COMPUTED_VALUE"""),0)</f>
        <v>0</v>
      </c>
      <c r="H20" s="23">
        <f ca="1">IFERROR(__xludf.DUMMYFUNCTION("""COMPUTED_VALUE"""),0)</f>
        <v>0</v>
      </c>
      <c r="I20" s="23">
        <f ca="1">IFERROR(__xludf.DUMMYFUNCTION("""COMPUTED_VALUE"""),0)</f>
        <v>0</v>
      </c>
      <c r="J20" s="23">
        <f ca="1">IFERROR(__xludf.DUMMYFUNCTION("""COMPUTED_VALUE"""),1)</f>
        <v>1</v>
      </c>
      <c r="K20" s="23">
        <f ca="1">IFERROR(__xludf.DUMMYFUNCTION("""COMPUTED_VALUE"""),1)</f>
        <v>1</v>
      </c>
      <c r="L20" s="23">
        <f ca="1">IFERROR(__xludf.DUMMYFUNCTION("""COMPUTED_VALUE"""),2)</f>
        <v>2</v>
      </c>
      <c r="M20" s="23">
        <f ca="1">IFERROR(__xludf.DUMMYFUNCTION("""COMPUTED_VALUE"""),0)</f>
        <v>0</v>
      </c>
      <c r="N20" s="23">
        <f ca="1">IFERROR(__xludf.DUMMYFUNCTION("""COMPUTED_VALUE"""),0)</f>
        <v>0</v>
      </c>
      <c r="O20" s="23">
        <f ca="1">IFERROR(__xludf.DUMMYFUNCTION("""COMPUTED_VALUE"""),0)</f>
        <v>0</v>
      </c>
      <c r="P20" s="23">
        <f ca="1">IFERROR(__xludf.DUMMYFUNCTION("""COMPUTED_VALUE"""),0)</f>
        <v>0</v>
      </c>
      <c r="Q20" s="23">
        <f ca="1">IFERROR(__xludf.DUMMYFUNCTION("""COMPUTED_VALUE"""),0)</f>
        <v>0</v>
      </c>
      <c r="R20" s="23">
        <f ca="1">IFERROR(__xludf.DUMMYFUNCTION("""COMPUTED_VALUE"""),0)</f>
        <v>0</v>
      </c>
      <c r="S20" s="23">
        <f ca="1">IFERROR(__xludf.DUMMYFUNCTION("""COMPUTED_VALUE"""),4)</f>
        <v>4</v>
      </c>
    </row>
    <row r="21" spans="1:19">
      <c r="A21" s="23" t="str">
        <f ca="1">IFERROR(__xludf.DUMMYFUNCTION("""COMPUTED_VALUE"""),"LITROS EXTRAIDOS")</f>
        <v>LITROS EXTRAIDOS</v>
      </c>
      <c r="B21" s="23">
        <f ca="1">IFERROR(__xludf.DUMMYFUNCTION("""COMPUTED_VALUE"""),1)</f>
        <v>1</v>
      </c>
      <c r="C21" s="23"/>
      <c r="D21" s="23" t="str">
        <f ca="1">IFERROR(__xludf.DUMMYFUNCTION("""COMPUTED_VALUE"""),"ASCENDENTE")</f>
        <v>ASCENDENTE</v>
      </c>
      <c r="E21" s="23" t="str">
        <f ca="1">IFERROR(__xludf.DUMMYFUNCTION("""COMPUTED_VALUE"""),"BITACORA OPERATIVA")</f>
        <v>BITACORA OPERATIVA</v>
      </c>
      <c r="F21" s="23">
        <f ca="1">IFERROR(__xludf.DUMMYFUNCTION("""COMPUTED_VALUE"""),0)</f>
        <v>0</v>
      </c>
      <c r="G21" s="23">
        <f ca="1">IFERROR(__xludf.DUMMYFUNCTION("""COMPUTED_VALUE"""),0)</f>
        <v>0</v>
      </c>
      <c r="H21" s="23">
        <f ca="1">IFERROR(__xludf.DUMMYFUNCTION("""COMPUTED_VALUE"""),0)</f>
        <v>0</v>
      </c>
      <c r="I21" s="23">
        <f ca="1">IFERROR(__xludf.DUMMYFUNCTION("""COMPUTED_VALUE"""),0)</f>
        <v>0</v>
      </c>
      <c r="J21" s="23">
        <f ca="1">IFERROR(__xludf.DUMMYFUNCTION("""COMPUTED_VALUE"""),3)</f>
        <v>3</v>
      </c>
      <c r="K21" s="23">
        <f ca="1">IFERROR(__xludf.DUMMYFUNCTION("""COMPUTED_VALUE"""),4)</f>
        <v>4</v>
      </c>
      <c r="L21" s="23">
        <f ca="1">IFERROR(__xludf.DUMMYFUNCTION("""COMPUTED_VALUE"""),2)</f>
        <v>2</v>
      </c>
      <c r="M21" s="23">
        <f ca="1">IFERROR(__xludf.DUMMYFUNCTION("""COMPUTED_VALUE"""),0)</f>
        <v>0</v>
      </c>
      <c r="N21" s="23">
        <f ca="1">IFERROR(__xludf.DUMMYFUNCTION("""COMPUTED_VALUE"""),0)</f>
        <v>0</v>
      </c>
      <c r="O21" s="23">
        <f ca="1">IFERROR(__xludf.DUMMYFUNCTION("""COMPUTED_VALUE"""),0)</f>
        <v>0</v>
      </c>
      <c r="P21" s="23">
        <f ca="1">IFERROR(__xludf.DUMMYFUNCTION("""COMPUTED_VALUE"""),0)</f>
        <v>0</v>
      </c>
      <c r="Q21" s="23">
        <f ca="1">IFERROR(__xludf.DUMMYFUNCTION("""COMPUTED_VALUE"""),0)</f>
        <v>0</v>
      </c>
      <c r="R21" s="23">
        <f ca="1">IFERROR(__xludf.DUMMYFUNCTION("""COMPUTED_VALUE"""),0)</f>
        <v>0</v>
      </c>
      <c r="S21" s="23">
        <f ca="1">IFERROR(__xludf.DUMMYFUNCTION("""COMPUTED_VALUE"""),9)</f>
        <v>9</v>
      </c>
    </row>
    <row r="22" spans="1:19">
      <c r="A22" s="23" t="str">
        <f ca="1">IFERROR(__xludf.DUMMYFUNCTION("""COMPUTED_VALUE"""),"LITROS DE HIPOCLORITO DE SODIO EN POZOS")</f>
        <v>LITROS DE HIPOCLORITO DE SODIO EN POZOS</v>
      </c>
      <c r="B22" s="23">
        <f ca="1">IFERROR(__xludf.DUMMYFUNCTION("""COMPUTED_VALUE"""),1)</f>
        <v>1</v>
      </c>
      <c r="C22" s="23"/>
      <c r="D22" s="23" t="str">
        <f ca="1">IFERROR(__xludf.DUMMYFUNCTION("""COMPUTED_VALUE"""),"ASCENDENTE")</f>
        <v>ASCENDENTE</v>
      </c>
      <c r="E22" s="23" t="str">
        <f ca="1">IFERROR(__xludf.DUMMYFUNCTION("""COMPUTED_VALUE"""),"BITACORA OPERATIVA")</f>
        <v>BITACORA OPERATIVA</v>
      </c>
      <c r="F22" s="23">
        <f ca="1">IFERROR(__xludf.DUMMYFUNCTION("""COMPUTED_VALUE"""),0)</f>
        <v>0</v>
      </c>
      <c r="G22" s="23">
        <f ca="1">IFERROR(__xludf.DUMMYFUNCTION("""COMPUTED_VALUE"""),0)</f>
        <v>0</v>
      </c>
      <c r="H22" s="23">
        <f ca="1">IFERROR(__xludf.DUMMYFUNCTION("""COMPUTED_VALUE"""),0)</f>
        <v>0</v>
      </c>
      <c r="I22" s="23">
        <f ca="1">IFERROR(__xludf.DUMMYFUNCTION("""COMPUTED_VALUE"""),0)</f>
        <v>0</v>
      </c>
      <c r="J22" s="23">
        <f ca="1">IFERROR(__xludf.DUMMYFUNCTION("""COMPUTED_VALUE"""),117144)</f>
        <v>117144</v>
      </c>
      <c r="K22" s="23">
        <f ca="1">IFERROR(__xludf.DUMMYFUNCTION("""COMPUTED_VALUE"""),114769)</f>
        <v>114769</v>
      </c>
      <c r="L22" s="23">
        <f ca="1">IFERROR(__xludf.DUMMYFUNCTION("""COMPUTED_VALUE"""),126388)</f>
        <v>126388</v>
      </c>
      <c r="M22" s="23">
        <f ca="1">IFERROR(__xludf.DUMMYFUNCTION("""COMPUTED_VALUE"""),0)</f>
        <v>0</v>
      </c>
      <c r="N22" s="23">
        <f ca="1">IFERROR(__xludf.DUMMYFUNCTION("""COMPUTED_VALUE"""),0)</f>
        <v>0</v>
      </c>
      <c r="O22" s="23">
        <f ca="1">IFERROR(__xludf.DUMMYFUNCTION("""COMPUTED_VALUE"""),0)</f>
        <v>0</v>
      </c>
      <c r="P22" s="23">
        <f ca="1">IFERROR(__xludf.DUMMYFUNCTION("""COMPUTED_VALUE"""),0)</f>
        <v>0</v>
      </c>
      <c r="Q22" s="23">
        <f ca="1">IFERROR(__xludf.DUMMYFUNCTION("""COMPUTED_VALUE"""),0)</f>
        <v>0</v>
      </c>
      <c r="R22" s="23">
        <f ca="1">IFERROR(__xludf.DUMMYFUNCTION("""COMPUTED_VALUE"""),0)</f>
        <v>0</v>
      </c>
      <c r="S22" s="23">
        <f ca="1">IFERROR(__xludf.DUMMYFUNCTION("""COMPUTED_VALUE"""),358301)</f>
        <v>358301</v>
      </c>
    </row>
    <row r="23" spans="1:19">
      <c r="A23" s="23" t="str">
        <f ca="1">IFERROR(__xludf.DUMMYFUNCTION("""COMPUTED_VALUE""")," MANTENIMIENTO A PLANTAS TRATADORAS")</f>
        <v xml:space="preserve"> MANTENIMIENTO A PLANTAS TRATADORAS</v>
      </c>
      <c r="B23" s="23">
        <f ca="1">IFERROR(__xludf.DUMMYFUNCTION("""COMPUTED_VALUE"""),1)</f>
        <v>1</v>
      </c>
      <c r="C23" s="23"/>
      <c r="D23" s="23" t="str">
        <f ca="1">IFERROR(__xludf.DUMMYFUNCTION("""COMPUTED_VALUE"""),"ASCENDENTE")</f>
        <v>ASCENDENTE</v>
      </c>
      <c r="E23" s="23" t="str">
        <f ca="1">IFERROR(__xludf.DUMMYFUNCTION("""COMPUTED_VALUE"""),"BITACORA OPERATIVA")</f>
        <v>BITACORA OPERATIVA</v>
      </c>
      <c r="F23" s="23">
        <f ca="1">IFERROR(__xludf.DUMMYFUNCTION("""COMPUTED_VALUE"""),0)</f>
        <v>0</v>
      </c>
      <c r="G23" s="23">
        <f ca="1">IFERROR(__xludf.DUMMYFUNCTION("""COMPUTED_VALUE"""),0)</f>
        <v>0</v>
      </c>
      <c r="H23" s="23">
        <f ca="1">IFERROR(__xludf.DUMMYFUNCTION("""COMPUTED_VALUE"""),0)</f>
        <v>0</v>
      </c>
      <c r="I23" s="23">
        <f ca="1">IFERROR(__xludf.DUMMYFUNCTION("""COMPUTED_VALUE"""),0)</f>
        <v>0</v>
      </c>
      <c r="J23" s="23">
        <f ca="1">IFERROR(__xludf.DUMMYFUNCTION("""COMPUTED_VALUE"""),9500)</f>
        <v>9500</v>
      </c>
      <c r="K23" s="23">
        <f ca="1">IFERROR(__xludf.DUMMYFUNCTION("""COMPUTED_VALUE"""),12500)</f>
        <v>12500</v>
      </c>
      <c r="L23" s="23">
        <f ca="1">IFERROR(__xludf.DUMMYFUNCTION("""COMPUTED_VALUE"""),12500)</f>
        <v>12500</v>
      </c>
      <c r="M23" s="23">
        <f ca="1">IFERROR(__xludf.DUMMYFUNCTION("""COMPUTED_VALUE"""),0)</f>
        <v>0</v>
      </c>
      <c r="N23" s="23">
        <f ca="1">IFERROR(__xludf.DUMMYFUNCTION("""COMPUTED_VALUE"""),0)</f>
        <v>0</v>
      </c>
      <c r="O23" s="23">
        <f ca="1">IFERROR(__xludf.DUMMYFUNCTION("""COMPUTED_VALUE"""),0)</f>
        <v>0</v>
      </c>
      <c r="P23" s="23">
        <f ca="1">IFERROR(__xludf.DUMMYFUNCTION("""COMPUTED_VALUE"""),0)</f>
        <v>0</v>
      </c>
      <c r="Q23" s="23">
        <f ca="1">IFERROR(__xludf.DUMMYFUNCTION("""COMPUTED_VALUE"""),0)</f>
        <v>0</v>
      </c>
      <c r="R23" s="23">
        <f ca="1">IFERROR(__xludf.DUMMYFUNCTION("""COMPUTED_VALUE"""),0)</f>
        <v>0</v>
      </c>
      <c r="S23" s="23">
        <f ca="1">IFERROR(__xludf.DUMMYFUNCTION("""COMPUTED_VALUE"""),34500)</f>
        <v>34500</v>
      </c>
    </row>
    <row r="24" spans="1:19">
      <c r="A24" s="23" t="str">
        <f ca="1">IFERROR(__xludf.DUMMYFUNCTION("""COMPUTED_VALUE"""),"ACTIVIDADES EXTRAS (APOYO A EVENTOS, MANTENIMIENTO HÍDRICO DE EDIFICIOS PÚBLICOS)")</f>
        <v>ACTIVIDADES EXTRAS (APOYO A EVENTOS, MANTENIMIENTO HÍDRICO DE EDIFICIOS PÚBLICOS)</v>
      </c>
      <c r="B24" s="23">
        <f ca="1">IFERROR(__xludf.DUMMYFUNCTION("""COMPUTED_VALUE"""),1)</f>
        <v>1</v>
      </c>
      <c r="C24" s="23"/>
      <c r="D24" s="23" t="str">
        <f ca="1">IFERROR(__xludf.DUMMYFUNCTION("""COMPUTED_VALUE"""),"ASCENDENTE")</f>
        <v>ASCENDENTE</v>
      </c>
      <c r="E24" s="23" t="str">
        <f ca="1">IFERROR(__xludf.DUMMYFUNCTION("""COMPUTED_VALUE"""),"BITACORA OPERATIVA")</f>
        <v>BITACORA OPERATIVA</v>
      </c>
      <c r="F24" s="23">
        <f ca="1">IFERROR(__xludf.DUMMYFUNCTION("""COMPUTED_VALUE"""),0)</f>
        <v>0</v>
      </c>
      <c r="G24" s="23">
        <f ca="1">IFERROR(__xludf.DUMMYFUNCTION("""COMPUTED_VALUE"""),0)</f>
        <v>0</v>
      </c>
      <c r="H24" s="23">
        <f ca="1">IFERROR(__xludf.DUMMYFUNCTION("""COMPUTED_VALUE"""),0)</f>
        <v>0</v>
      </c>
      <c r="I24" s="23">
        <f ca="1">IFERROR(__xludf.DUMMYFUNCTION("""COMPUTED_VALUE"""),0)</f>
        <v>0</v>
      </c>
      <c r="J24" s="23">
        <f ca="1">IFERROR(__xludf.DUMMYFUNCTION("""COMPUTED_VALUE"""),246)</f>
        <v>246</v>
      </c>
      <c r="K24" s="23">
        <f ca="1">IFERROR(__xludf.DUMMYFUNCTION("""COMPUTED_VALUE"""),241)</f>
        <v>241</v>
      </c>
      <c r="L24" s="23">
        <f ca="1">IFERROR(__xludf.DUMMYFUNCTION("""COMPUTED_VALUE"""),235)</f>
        <v>235</v>
      </c>
      <c r="M24" s="23">
        <f ca="1">IFERROR(__xludf.DUMMYFUNCTION("""COMPUTED_VALUE"""),0)</f>
        <v>0</v>
      </c>
      <c r="N24" s="23">
        <f ca="1">IFERROR(__xludf.DUMMYFUNCTION("""COMPUTED_VALUE"""),0)</f>
        <v>0</v>
      </c>
      <c r="O24" s="23">
        <f ca="1">IFERROR(__xludf.DUMMYFUNCTION("""COMPUTED_VALUE"""),0)</f>
        <v>0</v>
      </c>
      <c r="P24" s="23">
        <f ca="1">IFERROR(__xludf.DUMMYFUNCTION("""COMPUTED_VALUE"""),0)</f>
        <v>0</v>
      </c>
      <c r="Q24" s="23">
        <f ca="1">IFERROR(__xludf.DUMMYFUNCTION("""COMPUTED_VALUE"""),0)</f>
        <v>0</v>
      </c>
      <c r="R24" s="23">
        <f ca="1">IFERROR(__xludf.DUMMYFUNCTION("""COMPUTED_VALUE"""),0)</f>
        <v>0</v>
      </c>
      <c r="S24" s="23">
        <f ca="1">IFERROR(__xludf.DUMMYFUNCTION("""COMPUTED_VALUE"""),722)</f>
        <v>722</v>
      </c>
    </row>
    <row r="25" spans="1:19">
      <c r="A25" s="23" t="str">
        <f ca="1">IFERROR(__xludf.DUMMYFUNCTION("""COMPUTED_VALUE"""),"ANALISIS FISICOQUÍMICOS")</f>
        <v>ANALISIS FISICOQUÍMICOS</v>
      </c>
      <c r="B25" s="23">
        <f ca="1">IFERROR(__xludf.DUMMYFUNCTION("""COMPUTED_VALUE"""),1)</f>
        <v>1</v>
      </c>
      <c r="C25" s="23"/>
      <c r="D25" s="23" t="str">
        <f ca="1">IFERROR(__xludf.DUMMYFUNCTION("""COMPUTED_VALUE"""),"ASCENDENTE")</f>
        <v>ASCENDENTE</v>
      </c>
      <c r="E25" s="23" t="str">
        <f ca="1">IFERROR(__xludf.DUMMYFUNCTION("""COMPUTED_VALUE"""),"BITACORA OPERATIVA")</f>
        <v>BITACORA OPERATIVA</v>
      </c>
      <c r="F25" s="23">
        <f ca="1">IFERROR(__xludf.DUMMYFUNCTION("""COMPUTED_VALUE"""),0)</f>
        <v>0</v>
      </c>
      <c r="G25" s="23">
        <f ca="1">IFERROR(__xludf.DUMMYFUNCTION("""COMPUTED_VALUE"""),0)</f>
        <v>0</v>
      </c>
      <c r="H25" s="23">
        <f ca="1">IFERROR(__xludf.DUMMYFUNCTION("""COMPUTED_VALUE"""),0)</f>
        <v>0</v>
      </c>
      <c r="I25" s="23">
        <f ca="1">IFERROR(__xludf.DUMMYFUNCTION("""COMPUTED_VALUE"""),0)</f>
        <v>0</v>
      </c>
      <c r="J25" s="23">
        <f ca="1">IFERROR(__xludf.DUMMYFUNCTION("""COMPUTED_VALUE"""),1)</f>
        <v>1</v>
      </c>
      <c r="K25" s="23">
        <f ca="1">IFERROR(__xludf.DUMMYFUNCTION("""COMPUTED_VALUE"""),3)</f>
        <v>3</v>
      </c>
      <c r="L25" s="23">
        <f ca="1">IFERROR(__xludf.DUMMYFUNCTION("""COMPUTED_VALUE"""),1)</f>
        <v>1</v>
      </c>
      <c r="M25" s="23">
        <f ca="1">IFERROR(__xludf.DUMMYFUNCTION("""COMPUTED_VALUE"""),0)</f>
        <v>0</v>
      </c>
      <c r="N25" s="23">
        <f ca="1">IFERROR(__xludf.DUMMYFUNCTION("""COMPUTED_VALUE"""),0)</f>
        <v>0</v>
      </c>
      <c r="O25" s="23">
        <f ca="1">IFERROR(__xludf.DUMMYFUNCTION("""COMPUTED_VALUE"""),0)</f>
        <v>0</v>
      </c>
      <c r="P25" s="23">
        <f ca="1">IFERROR(__xludf.DUMMYFUNCTION("""COMPUTED_VALUE"""),0)</f>
        <v>0</v>
      </c>
      <c r="Q25" s="23">
        <f ca="1">IFERROR(__xludf.DUMMYFUNCTION("""COMPUTED_VALUE"""),0)</f>
        <v>0</v>
      </c>
      <c r="R25" s="23">
        <f ca="1">IFERROR(__xludf.DUMMYFUNCTION("""COMPUTED_VALUE"""),0)</f>
        <v>0</v>
      </c>
      <c r="S25" s="23">
        <f ca="1">IFERROR(__xludf.DUMMYFUNCTION("""COMPUTED_VALUE"""),5)</f>
        <v>5</v>
      </c>
    </row>
    <row r="26" spans="1:19">
      <c r="A26" s="23" t="str">
        <f ca="1">IFERROR(__xludf.DUMMYFUNCTION("""COMPUTED_VALUE"""),"PODAS EN ESPACIOS PUBLICOS MUNICIPALES")</f>
        <v>PODAS EN ESPACIOS PUBLICOS MUNICIPALES</v>
      </c>
      <c r="B26" s="23">
        <f ca="1">IFERROR(__xludf.DUMMYFUNCTION("""COMPUTED_VALUE"""),1)</f>
        <v>1</v>
      </c>
      <c r="C26" s="23"/>
      <c r="D26" s="23" t="str">
        <f ca="1">IFERROR(__xludf.DUMMYFUNCTION("""COMPUTED_VALUE"""),"ASCENDENTE")</f>
        <v>ASCENDENTE</v>
      </c>
      <c r="E26" s="23" t="str">
        <f ca="1">IFERROR(__xludf.DUMMYFUNCTION("""COMPUTED_VALUE"""),"BITACORA OPERATIVA")</f>
        <v>BITACORA OPERATIVA</v>
      </c>
      <c r="F26" s="23">
        <f ca="1">IFERROR(__xludf.DUMMYFUNCTION("""COMPUTED_VALUE"""),0)</f>
        <v>0</v>
      </c>
      <c r="G26" s="23">
        <f ca="1">IFERROR(__xludf.DUMMYFUNCTION("""COMPUTED_VALUE"""),0)</f>
        <v>0</v>
      </c>
      <c r="H26" s="23">
        <f ca="1">IFERROR(__xludf.DUMMYFUNCTION("""COMPUTED_VALUE"""),0)</f>
        <v>0</v>
      </c>
      <c r="I26" s="23">
        <f ca="1">IFERROR(__xludf.DUMMYFUNCTION("""COMPUTED_VALUE"""),0)</f>
        <v>0</v>
      </c>
      <c r="J26" s="23">
        <f ca="1">IFERROR(__xludf.DUMMYFUNCTION("""COMPUTED_VALUE"""),0)</f>
        <v>0</v>
      </c>
      <c r="K26" s="23">
        <f ca="1">IFERROR(__xludf.DUMMYFUNCTION("""COMPUTED_VALUE"""),0)</f>
        <v>0</v>
      </c>
      <c r="L26" s="23">
        <f ca="1">IFERROR(__xludf.DUMMYFUNCTION("""COMPUTED_VALUE"""),0)</f>
        <v>0</v>
      </c>
      <c r="M26" s="23">
        <f ca="1">IFERROR(__xludf.DUMMYFUNCTION("""COMPUTED_VALUE"""),0)</f>
        <v>0</v>
      </c>
      <c r="N26" s="23">
        <f ca="1">IFERROR(__xludf.DUMMYFUNCTION("""COMPUTED_VALUE"""),0)</f>
        <v>0</v>
      </c>
      <c r="O26" s="23">
        <f ca="1">IFERROR(__xludf.DUMMYFUNCTION("""COMPUTED_VALUE"""),0)</f>
        <v>0</v>
      </c>
      <c r="P26" s="23">
        <f ca="1">IFERROR(__xludf.DUMMYFUNCTION("""COMPUTED_VALUE"""),0)</f>
        <v>0</v>
      </c>
      <c r="Q26" s="23">
        <f ca="1">IFERROR(__xludf.DUMMYFUNCTION("""COMPUTED_VALUE"""),0)</f>
        <v>0</v>
      </c>
      <c r="R26" s="23">
        <f ca="1">IFERROR(__xludf.DUMMYFUNCTION("""COMPUTED_VALUE"""),0)</f>
        <v>0</v>
      </c>
      <c r="S26" s="23">
        <f ca="1">IFERROR(__xludf.DUMMYFUNCTION("""COMPUTED_VALUE"""),0)</f>
        <v>0</v>
      </c>
    </row>
    <row r="27" spans="1:19">
      <c r="A27" s="23" t="str">
        <f ca="1">IFERROR(__xludf.DUMMYFUNCTION("""COMPUTED_VALUE"""),"PODAS EN CARRETERAS Y CAMINOS")</f>
        <v>PODAS EN CARRETERAS Y CAMINOS</v>
      </c>
      <c r="B27" s="23">
        <f ca="1">IFERROR(__xludf.DUMMYFUNCTION("""COMPUTED_VALUE"""),1)</f>
        <v>1</v>
      </c>
      <c r="C27" s="23"/>
      <c r="D27" s="23" t="str">
        <f ca="1">IFERROR(__xludf.DUMMYFUNCTION("""COMPUTED_VALUE"""),"ASCENDENTE")</f>
        <v>ASCENDENTE</v>
      </c>
      <c r="E27" s="23" t="str">
        <f ca="1">IFERROR(__xludf.DUMMYFUNCTION("""COMPUTED_VALUE"""),"BITACORA OPERATIVA")</f>
        <v>BITACORA OPERATIVA</v>
      </c>
      <c r="F27" s="23">
        <f ca="1">IFERROR(__xludf.DUMMYFUNCTION("""COMPUTED_VALUE"""),0)</f>
        <v>0</v>
      </c>
      <c r="G27" s="23">
        <f ca="1">IFERROR(__xludf.DUMMYFUNCTION("""COMPUTED_VALUE"""),0)</f>
        <v>0</v>
      </c>
      <c r="H27" s="23">
        <f ca="1">IFERROR(__xludf.DUMMYFUNCTION("""COMPUTED_VALUE"""),0)</f>
        <v>0</v>
      </c>
      <c r="I27" s="23">
        <f ca="1">IFERROR(__xludf.DUMMYFUNCTION("""COMPUTED_VALUE"""),0)</f>
        <v>0</v>
      </c>
      <c r="J27" s="23">
        <f ca="1">IFERROR(__xludf.DUMMYFUNCTION("""COMPUTED_VALUE"""),42)</f>
        <v>42</v>
      </c>
      <c r="K27" s="23">
        <f ca="1">IFERROR(__xludf.DUMMYFUNCTION("""COMPUTED_VALUE"""),18)</f>
        <v>18</v>
      </c>
      <c r="L27" s="23">
        <f ca="1">IFERROR(__xludf.DUMMYFUNCTION("""COMPUTED_VALUE"""),34)</f>
        <v>34</v>
      </c>
      <c r="M27" s="23">
        <f ca="1">IFERROR(__xludf.DUMMYFUNCTION("""COMPUTED_VALUE"""),0)</f>
        <v>0</v>
      </c>
      <c r="N27" s="23">
        <f ca="1">IFERROR(__xludf.DUMMYFUNCTION("""COMPUTED_VALUE"""),0)</f>
        <v>0</v>
      </c>
      <c r="O27" s="23">
        <f ca="1">IFERROR(__xludf.DUMMYFUNCTION("""COMPUTED_VALUE"""),0)</f>
        <v>0</v>
      </c>
      <c r="P27" s="23">
        <f ca="1">IFERROR(__xludf.DUMMYFUNCTION("""COMPUTED_VALUE"""),0)</f>
        <v>0</v>
      </c>
      <c r="Q27" s="23">
        <f ca="1">IFERROR(__xludf.DUMMYFUNCTION("""COMPUTED_VALUE"""),0)</f>
        <v>0</v>
      </c>
      <c r="R27" s="23">
        <f ca="1">IFERROR(__xludf.DUMMYFUNCTION("""COMPUTED_VALUE"""),0)</f>
        <v>0</v>
      </c>
      <c r="S27" s="23">
        <f ca="1">IFERROR(__xludf.DUMMYFUNCTION("""COMPUTED_VALUE"""),94)</f>
        <v>94</v>
      </c>
    </row>
    <row r="28" spans="1:19">
      <c r="A28" s="23" t="str">
        <f ca="1">IFERROR(__xludf.DUMMYFUNCTION("""COMPUTED_VALUE"""),"PODAS EN CAMELLONES Y BANQUETAS DE CALLES")</f>
        <v>PODAS EN CAMELLONES Y BANQUETAS DE CALLES</v>
      </c>
      <c r="B28" s="23">
        <f ca="1">IFERROR(__xludf.DUMMYFUNCTION("""COMPUTED_VALUE"""),1)</f>
        <v>1</v>
      </c>
      <c r="C28" s="23"/>
      <c r="D28" s="23" t="str">
        <f ca="1">IFERROR(__xludf.DUMMYFUNCTION("""COMPUTED_VALUE"""),"ASCENDENTE")</f>
        <v>ASCENDENTE</v>
      </c>
      <c r="E28" s="23" t="str">
        <f ca="1">IFERROR(__xludf.DUMMYFUNCTION("""COMPUTED_VALUE"""),"BITACORA OPERATIVA")</f>
        <v>BITACORA OPERATIVA</v>
      </c>
      <c r="F28" s="23">
        <f ca="1">IFERROR(__xludf.DUMMYFUNCTION("""COMPUTED_VALUE"""),0)</f>
        <v>0</v>
      </c>
      <c r="G28" s="23">
        <f ca="1">IFERROR(__xludf.DUMMYFUNCTION("""COMPUTED_VALUE"""),0)</f>
        <v>0</v>
      </c>
      <c r="H28" s="23">
        <f ca="1">IFERROR(__xludf.DUMMYFUNCTION("""COMPUTED_VALUE"""),0)</f>
        <v>0</v>
      </c>
      <c r="I28" s="23">
        <f ca="1">IFERROR(__xludf.DUMMYFUNCTION("""COMPUTED_VALUE"""),0)</f>
        <v>0</v>
      </c>
      <c r="J28" s="23">
        <f ca="1">IFERROR(__xludf.DUMMYFUNCTION("""COMPUTED_VALUE"""),17)</f>
        <v>17</v>
      </c>
      <c r="K28" s="23">
        <f ca="1">IFERROR(__xludf.DUMMYFUNCTION("""COMPUTED_VALUE"""),13)</f>
        <v>13</v>
      </c>
      <c r="L28" s="23">
        <f ca="1">IFERROR(__xludf.DUMMYFUNCTION("""COMPUTED_VALUE"""),10)</f>
        <v>10</v>
      </c>
      <c r="M28" s="23">
        <f ca="1">IFERROR(__xludf.DUMMYFUNCTION("""COMPUTED_VALUE"""),0)</f>
        <v>0</v>
      </c>
      <c r="N28" s="23">
        <f ca="1">IFERROR(__xludf.DUMMYFUNCTION("""COMPUTED_VALUE"""),0)</f>
        <v>0</v>
      </c>
      <c r="O28" s="23">
        <f ca="1">IFERROR(__xludf.DUMMYFUNCTION("""COMPUTED_VALUE"""),0)</f>
        <v>0</v>
      </c>
      <c r="P28" s="23">
        <f ca="1">IFERROR(__xludf.DUMMYFUNCTION("""COMPUTED_VALUE"""),0)</f>
        <v>0</v>
      </c>
      <c r="Q28" s="23">
        <f ca="1">IFERROR(__xludf.DUMMYFUNCTION("""COMPUTED_VALUE"""),0)</f>
        <v>0</v>
      </c>
      <c r="R28" s="23">
        <f ca="1">IFERROR(__xludf.DUMMYFUNCTION("""COMPUTED_VALUE"""),0)</f>
        <v>0</v>
      </c>
      <c r="S28" s="23">
        <f ca="1">IFERROR(__xludf.DUMMYFUNCTION("""COMPUTED_VALUE"""),40)</f>
        <v>40</v>
      </c>
    </row>
    <row r="29" spans="1:19">
      <c r="A29" s="23" t="str">
        <f ca="1">IFERROR(__xludf.DUMMYFUNCTION("""COMPUTED_VALUE"""),"PODAS EN UNIDADES DEPORTIVAS Y CAMPOS DE FÚTBOL")</f>
        <v>PODAS EN UNIDADES DEPORTIVAS Y CAMPOS DE FÚTBOL</v>
      </c>
      <c r="B29" s="23">
        <f ca="1">IFERROR(__xludf.DUMMYFUNCTION("""COMPUTED_VALUE"""),1)</f>
        <v>1</v>
      </c>
      <c r="C29" s="23"/>
      <c r="D29" s="23" t="str">
        <f ca="1">IFERROR(__xludf.DUMMYFUNCTION("""COMPUTED_VALUE"""),"ASCENDENTE")</f>
        <v>ASCENDENTE</v>
      </c>
      <c r="E29" s="23" t="str">
        <f ca="1">IFERROR(__xludf.DUMMYFUNCTION("""COMPUTED_VALUE"""),"BITACORA OPERATIVA")</f>
        <v>BITACORA OPERATIVA</v>
      </c>
      <c r="F29" s="23">
        <f ca="1">IFERROR(__xludf.DUMMYFUNCTION("""COMPUTED_VALUE"""),0)</f>
        <v>0</v>
      </c>
      <c r="G29" s="23">
        <f ca="1">IFERROR(__xludf.DUMMYFUNCTION("""COMPUTED_VALUE"""),0)</f>
        <v>0</v>
      </c>
      <c r="H29" s="23">
        <f ca="1">IFERROR(__xludf.DUMMYFUNCTION("""COMPUTED_VALUE"""),0)</f>
        <v>0</v>
      </c>
      <c r="I29" s="23">
        <f ca="1">IFERROR(__xludf.DUMMYFUNCTION("""COMPUTED_VALUE"""),0)</f>
        <v>0</v>
      </c>
      <c r="J29" s="23">
        <f ca="1">IFERROR(__xludf.DUMMYFUNCTION("""COMPUTED_VALUE"""),28)</f>
        <v>28</v>
      </c>
      <c r="K29" s="23">
        <f ca="1">IFERROR(__xludf.DUMMYFUNCTION("""COMPUTED_VALUE"""),32)</f>
        <v>32</v>
      </c>
      <c r="L29" s="23">
        <f ca="1">IFERROR(__xludf.DUMMYFUNCTION("""COMPUTED_VALUE"""),26)</f>
        <v>26</v>
      </c>
      <c r="M29" s="23">
        <f ca="1">IFERROR(__xludf.DUMMYFUNCTION("""COMPUTED_VALUE"""),0)</f>
        <v>0</v>
      </c>
      <c r="N29" s="23">
        <f ca="1">IFERROR(__xludf.DUMMYFUNCTION("""COMPUTED_VALUE"""),0)</f>
        <v>0</v>
      </c>
      <c r="O29" s="23">
        <f ca="1">IFERROR(__xludf.DUMMYFUNCTION("""COMPUTED_VALUE"""),0)</f>
        <v>0</v>
      </c>
      <c r="P29" s="23">
        <f ca="1">IFERROR(__xludf.DUMMYFUNCTION("""COMPUTED_VALUE"""),0)</f>
        <v>0</v>
      </c>
      <c r="Q29" s="23">
        <f ca="1">IFERROR(__xludf.DUMMYFUNCTION("""COMPUTED_VALUE"""),0)</f>
        <v>0</v>
      </c>
      <c r="R29" s="23">
        <f ca="1">IFERROR(__xludf.DUMMYFUNCTION("""COMPUTED_VALUE"""),0)</f>
        <v>0</v>
      </c>
      <c r="S29" s="23">
        <f ca="1">IFERROR(__xludf.DUMMYFUNCTION("""COMPUTED_VALUE"""),86)</f>
        <v>86</v>
      </c>
    </row>
    <row r="30" spans="1:19">
      <c r="A30" s="23" t="str">
        <f ca="1">IFERROR(__xludf.DUMMYFUNCTION("""COMPUTED_VALUE"""),"PODAS DE ÁRBOLES")</f>
        <v>PODAS DE ÁRBOLES</v>
      </c>
      <c r="B30" s="23">
        <f ca="1">IFERROR(__xludf.DUMMYFUNCTION("""COMPUTED_VALUE"""),1)</f>
        <v>1</v>
      </c>
      <c r="C30" s="23"/>
      <c r="D30" s="23" t="str">
        <f ca="1">IFERROR(__xludf.DUMMYFUNCTION("""COMPUTED_VALUE"""),"ASCENDENTE")</f>
        <v>ASCENDENTE</v>
      </c>
      <c r="E30" s="23" t="str">
        <f ca="1">IFERROR(__xludf.DUMMYFUNCTION("""COMPUTED_VALUE"""),"BITACORA OPERATIVA")</f>
        <v>BITACORA OPERATIVA</v>
      </c>
      <c r="F30" s="23">
        <f ca="1">IFERROR(__xludf.DUMMYFUNCTION("""COMPUTED_VALUE"""),0)</f>
        <v>0</v>
      </c>
      <c r="G30" s="23">
        <f ca="1">IFERROR(__xludf.DUMMYFUNCTION("""COMPUTED_VALUE"""),0)</f>
        <v>0</v>
      </c>
      <c r="H30" s="23">
        <f ca="1">IFERROR(__xludf.DUMMYFUNCTION("""COMPUTED_VALUE"""),0)</f>
        <v>0</v>
      </c>
      <c r="I30" s="23">
        <f ca="1">IFERROR(__xludf.DUMMYFUNCTION("""COMPUTED_VALUE"""),0)</f>
        <v>0</v>
      </c>
      <c r="J30" s="23">
        <f ca="1">IFERROR(__xludf.DUMMYFUNCTION("""COMPUTED_VALUE"""),2)</f>
        <v>2</v>
      </c>
      <c r="K30" s="23">
        <f ca="1">IFERROR(__xludf.DUMMYFUNCTION("""COMPUTED_VALUE"""),1)</f>
        <v>1</v>
      </c>
      <c r="L30" s="23">
        <f ca="1">IFERROR(__xludf.DUMMYFUNCTION("""COMPUTED_VALUE"""),1)</f>
        <v>1</v>
      </c>
      <c r="M30" s="23">
        <f ca="1">IFERROR(__xludf.DUMMYFUNCTION("""COMPUTED_VALUE"""),0)</f>
        <v>0</v>
      </c>
      <c r="N30" s="23">
        <f ca="1">IFERROR(__xludf.DUMMYFUNCTION("""COMPUTED_VALUE"""),0)</f>
        <v>0</v>
      </c>
      <c r="O30" s="23">
        <f ca="1">IFERROR(__xludf.DUMMYFUNCTION("""COMPUTED_VALUE"""),0)</f>
        <v>0</v>
      </c>
      <c r="P30" s="23">
        <f ca="1">IFERROR(__xludf.DUMMYFUNCTION("""COMPUTED_VALUE"""),0)</f>
        <v>0</v>
      </c>
      <c r="Q30" s="23">
        <f ca="1">IFERROR(__xludf.DUMMYFUNCTION("""COMPUTED_VALUE"""),0)</f>
        <v>0</v>
      </c>
      <c r="R30" s="23">
        <f ca="1">IFERROR(__xludf.DUMMYFUNCTION("""COMPUTED_VALUE"""),0)</f>
        <v>0</v>
      </c>
      <c r="S30" s="23">
        <f ca="1">IFERROR(__xludf.DUMMYFUNCTION("""COMPUTED_VALUE"""),4)</f>
        <v>4</v>
      </c>
    </row>
    <row r="31" spans="1:19">
      <c r="A31" s="23" t="str">
        <f ca="1">IFERROR(__xludf.DUMMYFUNCTION("""COMPUTED_VALUE"""),"PODAS EN ESCUELAS")</f>
        <v>PODAS EN ESCUELAS</v>
      </c>
      <c r="B31" s="23">
        <f ca="1">IFERROR(__xludf.DUMMYFUNCTION("""COMPUTED_VALUE"""),1)</f>
        <v>1</v>
      </c>
      <c r="C31" s="23"/>
      <c r="D31" s="23" t="str">
        <f ca="1">IFERROR(__xludf.DUMMYFUNCTION("""COMPUTED_VALUE"""),"ASCENDENTE")</f>
        <v>ASCENDENTE</v>
      </c>
      <c r="E31" s="23" t="str">
        <f ca="1">IFERROR(__xludf.DUMMYFUNCTION("""COMPUTED_VALUE"""),"BITACORA OPERATIVA")</f>
        <v>BITACORA OPERATIVA</v>
      </c>
      <c r="F31" s="23">
        <f ca="1">IFERROR(__xludf.DUMMYFUNCTION("""COMPUTED_VALUE"""),0)</f>
        <v>0</v>
      </c>
      <c r="G31" s="23">
        <f ca="1">IFERROR(__xludf.DUMMYFUNCTION("""COMPUTED_VALUE"""),0)</f>
        <v>0</v>
      </c>
      <c r="H31" s="23">
        <f ca="1">IFERROR(__xludf.DUMMYFUNCTION("""COMPUTED_VALUE"""),0)</f>
        <v>0</v>
      </c>
      <c r="I31" s="23">
        <f ca="1">IFERROR(__xludf.DUMMYFUNCTION("""COMPUTED_VALUE"""),0)</f>
        <v>0</v>
      </c>
      <c r="J31" s="23">
        <f ca="1">IFERROR(__xludf.DUMMYFUNCTION("""COMPUTED_VALUE"""),8)</f>
        <v>8</v>
      </c>
      <c r="K31" s="23">
        <f ca="1">IFERROR(__xludf.DUMMYFUNCTION("""COMPUTED_VALUE"""),14)</f>
        <v>14</v>
      </c>
      <c r="L31" s="23">
        <f ca="1">IFERROR(__xludf.DUMMYFUNCTION("""COMPUTED_VALUE"""),32)</f>
        <v>32</v>
      </c>
      <c r="M31" s="23">
        <f ca="1">IFERROR(__xludf.DUMMYFUNCTION("""COMPUTED_VALUE"""),0)</f>
        <v>0</v>
      </c>
      <c r="N31" s="23">
        <f ca="1">IFERROR(__xludf.DUMMYFUNCTION("""COMPUTED_VALUE"""),0)</f>
        <v>0</v>
      </c>
      <c r="O31" s="23">
        <f ca="1">IFERROR(__xludf.DUMMYFUNCTION("""COMPUTED_VALUE"""),0)</f>
        <v>0</v>
      </c>
      <c r="P31" s="23">
        <f ca="1">IFERROR(__xludf.DUMMYFUNCTION("""COMPUTED_VALUE"""),0)</f>
        <v>0</v>
      </c>
      <c r="Q31" s="23">
        <f ca="1">IFERROR(__xludf.DUMMYFUNCTION("""COMPUTED_VALUE"""),0)</f>
        <v>0</v>
      </c>
      <c r="R31" s="23">
        <f ca="1">IFERROR(__xludf.DUMMYFUNCTION("""COMPUTED_VALUE"""),0)</f>
        <v>0</v>
      </c>
      <c r="S31" s="23">
        <f ca="1">IFERROR(__xludf.DUMMYFUNCTION("""COMPUTED_VALUE"""),54)</f>
        <v>54</v>
      </c>
    </row>
    <row r="32" spans="1:19">
      <c r="A32" s="23" t="str">
        <f ca="1">IFERROR(__xludf.DUMMYFUNCTION("""COMPUTED_VALUE"""),"SACRIFICIO DE RESES ")</f>
        <v xml:space="preserve">SACRIFICIO DE RESES </v>
      </c>
      <c r="B32" s="23">
        <f ca="1">IFERROR(__xludf.DUMMYFUNCTION("""COMPUTED_VALUE"""),1)</f>
        <v>1</v>
      </c>
      <c r="C32" s="23"/>
      <c r="D32" s="23" t="str">
        <f ca="1">IFERROR(__xludf.DUMMYFUNCTION("""COMPUTED_VALUE"""),"ASCENDENTE")</f>
        <v>ASCENDENTE</v>
      </c>
      <c r="E32" s="23" t="str">
        <f ca="1">IFERROR(__xludf.DUMMYFUNCTION("""COMPUTED_VALUE"""),"BITACORA OPERATIVA")</f>
        <v>BITACORA OPERATIVA</v>
      </c>
      <c r="F32" s="23">
        <f ca="1">IFERROR(__xludf.DUMMYFUNCTION("""COMPUTED_VALUE"""),0)</f>
        <v>0</v>
      </c>
      <c r="G32" s="23">
        <f ca="1">IFERROR(__xludf.DUMMYFUNCTION("""COMPUTED_VALUE"""),0)</f>
        <v>0</v>
      </c>
      <c r="H32" s="23">
        <f ca="1">IFERROR(__xludf.DUMMYFUNCTION("""COMPUTED_VALUE"""),0)</f>
        <v>0</v>
      </c>
      <c r="I32" s="23">
        <f ca="1">IFERROR(__xludf.DUMMYFUNCTION("""COMPUTED_VALUE"""),0)</f>
        <v>0</v>
      </c>
      <c r="J32" s="23">
        <f ca="1">IFERROR(__xludf.DUMMYFUNCTION("""COMPUTED_VALUE"""),240)</f>
        <v>240</v>
      </c>
      <c r="K32" s="23">
        <f ca="1">IFERROR(__xludf.DUMMYFUNCTION("""COMPUTED_VALUE"""),224)</f>
        <v>224</v>
      </c>
      <c r="L32" s="23">
        <f ca="1">IFERROR(__xludf.DUMMYFUNCTION("""COMPUTED_VALUE"""),185)</f>
        <v>185</v>
      </c>
      <c r="M32" s="23">
        <f ca="1">IFERROR(__xludf.DUMMYFUNCTION("""COMPUTED_VALUE"""),0)</f>
        <v>0</v>
      </c>
      <c r="N32" s="23">
        <f ca="1">IFERROR(__xludf.DUMMYFUNCTION("""COMPUTED_VALUE"""),0)</f>
        <v>0</v>
      </c>
      <c r="O32" s="23">
        <f ca="1">IFERROR(__xludf.DUMMYFUNCTION("""COMPUTED_VALUE"""),0)</f>
        <v>0</v>
      </c>
      <c r="P32" s="23">
        <f ca="1">IFERROR(__xludf.DUMMYFUNCTION("""COMPUTED_VALUE"""),0)</f>
        <v>0</v>
      </c>
      <c r="Q32" s="23">
        <f ca="1">IFERROR(__xludf.DUMMYFUNCTION("""COMPUTED_VALUE"""),0)</f>
        <v>0</v>
      </c>
      <c r="R32" s="23">
        <f ca="1">IFERROR(__xludf.DUMMYFUNCTION("""COMPUTED_VALUE"""),0)</f>
        <v>0</v>
      </c>
      <c r="S32" s="23">
        <f ca="1">IFERROR(__xludf.DUMMYFUNCTION("""COMPUTED_VALUE"""),649)</f>
        <v>649</v>
      </c>
    </row>
    <row r="33" spans="1:19">
      <c r="A33" s="23" t="str">
        <f ca="1">IFERROR(__xludf.DUMMYFUNCTION("""COMPUTED_VALUE"""),"SACRIFICIOS DE CERDOS")</f>
        <v>SACRIFICIOS DE CERDOS</v>
      </c>
      <c r="B33" s="23">
        <f ca="1">IFERROR(__xludf.DUMMYFUNCTION("""COMPUTED_VALUE"""),1)</f>
        <v>1</v>
      </c>
      <c r="C33" s="23"/>
      <c r="D33" s="23" t="str">
        <f ca="1">IFERROR(__xludf.DUMMYFUNCTION("""COMPUTED_VALUE"""),"ASCENDENTE")</f>
        <v>ASCENDENTE</v>
      </c>
      <c r="E33" s="23" t="str">
        <f ca="1">IFERROR(__xludf.DUMMYFUNCTION("""COMPUTED_VALUE"""),"BITACORA OPERATIVA")</f>
        <v>BITACORA OPERATIVA</v>
      </c>
      <c r="F33" s="23">
        <f ca="1">IFERROR(__xludf.DUMMYFUNCTION("""COMPUTED_VALUE"""),0)</f>
        <v>0</v>
      </c>
      <c r="G33" s="23">
        <f ca="1">IFERROR(__xludf.DUMMYFUNCTION("""COMPUTED_VALUE"""),0)</f>
        <v>0</v>
      </c>
      <c r="H33" s="23">
        <f ca="1">IFERROR(__xludf.DUMMYFUNCTION("""COMPUTED_VALUE"""),0)</f>
        <v>0</v>
      </c>
      <c r="I33" s="23">
        <f ca="1">IFERROR(__xludf.DUMMYFUNCTION("""COMPUTED_VALUE"""),0)</f>
        <v>0</v>
      </c>
      <c r="J33" s="23">
        <f ca="1">IFERROR(__xludf.DUMMYFUNCTION("""COMPUTED_VALUE"""),595)</f>
        <v>595</v>
      </c>
      <c r="K33" s="23">
        <f ca="1">IFERROR(__xludf.DUMMYFUNCTION("""COMPUTED_VALUE"""),529)</f>
        <v>529</v>
      </c>
      <c r="L33" s="23">
        <f ca="1">IFERROR(__xludf.DUMMYFUNCTION("""COMPUTED_VALUE"""),495)</f>
        <v>495</v>
      </c>
      <c r="M33" s="23">
        <f ca="1">IFERROR(__xludf.DUMMYFUNCTION("""COMPUTED_VALUE"""),0)</f>
        <v>0</v>
      </c>
      <c r="N33" s="23">
        <f ca="1">IFERROR(__xludf.DUMMYFUNCTION("""COMPUTED_VALUE"""),0)</f>
        <v>0</v>
      </c>
      <c r="O33" s="23">
        <f ca="1">IFERROR(__xludf.DUMMYFUNCTION("""COMPUTED_VALUE"""),0)</f>
        <v>0</v>
      </c>
      <c r="P33" s="23">
        <f ca="1">IFERROR(__xludf.DUMMYFUNCTION("""COMPUTED_VALUE"""),0)</f>
        <v>0</v>
      </c>
      <c r="Q33" s="23">
        <f ca="1">IFERROR(__xludf.DUMMYFUNCTION("""COMPUTED_VALUE"""),0)</f>
        <v>0</v>
      </c>
      <c r="R33" s="23">
        <f ca="1">IFERROR(__xludf.DUMMYFUNCTION("""COMPUTED_VALUE"""),0)</f>
        <v>0</v>
      </c>
      <c r="S33" s="23">
        <f ca="1">IFERROR(__xludf.DUMMYFUNCTION("""COMPUTED_VALUE"""),1619)</f>
        <v>1619</v>
      </c>
    </row>
    <row r="34" spans="1:19">
      <c r="A34" s="23" t="str">
        <f ca="1">IFERROR(__xludf.DUMMYFUNCTION("""COMPUTED_VALUE"""),"TOTAL DE ANIMALES RESGUARDADOS")</f>
        <v>TOTAL DE ANIMALES RESGUARDADOS</v>
      </c>
      <c r="B34" s="23">
        <f ca="1">IFERROR(__xludf.DUMMYFUNCTION("""COMPUTED_VALUE"""),1)</f>
        <v>1</v>
      </c>
      <c r="C34" s="23"/>
      <c r="D34" s="23" t="str">
        <f ca="1">IFERROR(__xludf.DUMMYFUNCTION("""COMPUTED_VALUE"""),"ASCENDENTE")</f>
        <v>ASCENDENTE</v>
      </c>
      <c r="E34" s="23" t="str">
        <f ca="1">IFERROR(__xludf.DUMMYFUNCTION("""COMPUTED_VALUE"""),"BITACORA OPERATIVA")</f>
        <v>BITACORA OPERATIVA</v>
      </c>
      <c r="F34" s="23">
        <f ca="1">IFERROR(__xludf.DUMMYFUNCTION("""COMPUTED_VALUE"""),0)</f>
        <v>0</v>
      </c>
      <c r="G34" s="23">
        <f ca="1">IFERROR(__xludf.DUMMYFUNCTION("""COMPUTED_VALUE"""),0)</f>
        <v>0</v>
      </c>
      <c r="H34" s="23">
        <f ca="1">IFERROR(__xludf.DUMMYFUNCTION("""COMPUTED_VALUE"""),0)</f>
        <v>0</v>
      </c>
      <c r="I34" s="23">
        <f ca="1">IFERROR(__xludf.DUMMYFUNCTION("""COMPUTED_VALUE"""),0)</f>
        <v>0</v>
      </c>
      <c r="J34" s="23">
        <f ca="1">IFERROR(__xludf.DUMMYFUNCTION("""COMPUTED_VALUE"""),835)</f>
        <v>835</v>
      </c>
      <c r="K34" s="23">
        <f ca="1">IFERROR(__xludf.DUMMYFUNCTION("""COMPUTED_VALUE"""),753)</f>
        <v>753</v>
      </c>
      <c r="L34" s="23">
        <f ca="1">IFERROR(__xludf.DUMMYFUNCTION("""COMPUTED_VALUE"""),680)</f>
        <v>680</v>
      </c>
      <c r="M34" s="23">
        <f ca="1">IFERROR(__xludf.DUMMYFUNCTION("""COMPUTED_VALUE"""),0)</f>
        <v>0</v>
      </c>
      <c r="N34" s="23">
        <f ca="1">IFERROR(__xludf.DUMMYFUNCTION("""COMPUTED_VALUE"""),0)</f>
        <v>0</v>
      </c>
      <c r="O34" s="23">
        <f ca="1">IFERROR(__xludf.DUMMYFUNCTION("""COMPUTED_VALUE"""),0)</f>
        <v>0</v>
      </c>
      <c r="P34" s="23">
        <f ca="1">IFERROR(__xludf.DUMMYFUNCTION("""COMPUTED_VALUE"""),0)</f>
        <v>0</v>
      </c>
      <c r="Q34" s="23">
        <f ca="1">IFERROR(__xludf.DUMMYFUNCTION("""COMPUTED_VALUE"""),0)</f>
        <v>0</v>
      </c>
      <c r="R34" s="23">
        <f ca="1">IFERROR(__xludf.DUMMYFUNCTION("""COMPUTED_VALUE"""),0)</f>
        <v>0</v>
      </c>
      <c r="S34" s="23">
        <f ca="1">IFERROR(__xludf.DUMMYFUNCTION("""COMPUTED_VALUE"""),2268)</f>
        <v>2268</v>
      </c>
    </row>
    <row r="35" spans="1:19">
      <c r="A35" s="23" t="str">
        <f ca="1">IFERROR(__xludf.DUMMYFUNCTION("""COMPUTED_VALUE"""),"DECOMISOS (KG)")</f>
        <v>DECOMISOS (KG)</v>
      </c>
      <c r="B35" s="23">
        <f ca="1">IFERROR(__xludf.DUMMYFUNCTION("""COMPUTED_VALUE"""),1)</f>
        <v>1</v>
      </c>
      <c r="C35" s="23"/>
      <c r="D35" s="23" t="str">
        <f ca="1">IFERROR(__xludf.DUMMYFUNCTION("""COMPUTED_VALUE"""),"ASCENDENTE")</f>
        <v>ASCENDENTE</v>
      </c>
      <c r="E35" s="23" t="str">
        <f ca="1">IFERROR(__xludf.DUMMYFUNCTION("""COMPUTED_VALUE"""),"BITACORA OPERATIVA")</f>
        <v>BITACORA OPERATIVA</v>
      </c>
      <c r="F35" s="23">
        <f ca="1">IFERROR(__xludf.DUMMYFUNCTION("""COMPUTED_VALUE"""),0)</f>
        <v>0</v>
      </c>
      <c r="G35" s="23">
        <f ca="1">IFERROR(__xludf.DUMMYFUNCTION("""COMPUTED_VALUE"""),0)</f>
        <v>0</v>
      </c>
      <c r="H35" s="23">
        <f ca="1">IFERROR(__xludf.DUMMYFUNCTION("""COMPUTED_VALUE"""),0)</f>
        <v>0</v>
      </c>
      <c r="I35" s="23">
        <f ca="1">IFERROR(__xludf.DUMMYFUNCTION("""COMPUTED_VALUE"""),0)</f>
        <v>0</v>
      </c>
      <c r="J35" s="23">
        <f ca="1">IFERROR(__xludf.DUMMYFUNCTION("""COMPUTED_VALUE"""),0)</f>
        <v>0</v>
      </c>
      <c r="K35" s="23">
        <f ca="1">IFERROR(__xludf.DUMMYFUNCTION("""COMPUTED_VALUE"""),0)</f>
        <v>0</v>
      </c>
      <c r="L35" s="23">
        <f ca="1">IFERROR(__xludf.DUMMYFUNCTION("""COMPUTED_VALUE"""),0)</f>
        <v>0</v>
      </c>
      <c r="M35" s="23">
        <f ca="1">IFERROR(__xludf.DUMMYFUNCTION("""COMPUTED_VALUE"""),0)</f>
        <v>0</v>
      </c>
      <c r="N35" s="23">
        <f ca="1">IFERROR(__xludf.DUMMYFUNCTION("""COMPUTED_VALUE"""),0)</f>
        <v>0</v>
      </c>
      <c r="O35" s="23">
        <f ca="1">IFERROR(__xludf.DUMMYFUNCTION("""COMPUTED_VALUE"""),0)</f>
        <v>0</v>
      </c>
      <c r="P35" s="23">
        <f ca="1">IFERROR(__xludf.DUMMYFUNCTION("""COMPUTED_VALUE"""),0)</f>
        <v>0</v>
      </c>
      <c r="Q35" s="23">
        <f ca="1">IFERROR(__xludf.DUMMYFUNCTION("""COMPUTED_VALUE"""),0)</f>
        <v>0</v>
      </c>
      <c r="R35" s="23">
        <f ca="1">IFERROR(__xludf.DUMMYFUNCTION("""COMPUTED_VALUE"""),0)</f>
        <v>0</v>
      </c>
      <c r="S35" s="23">
        <f ca="1">IFERROR(__xludf.DUMMYFUNCTION("""COMPUTED_VALUE"""),0)</f>
        <v>0</v>
      </c>
    </row>
    <row r="36" spans="1:19">
      <c r="A36" s="23" t="str">
        <f ca="1">IFERROR(__xludf.DUMMYFUNCTION("""COMPUTED_VALUE"""),"TOTAL DE ANIMALES DECOMISADOS")</f>
        <v>TOTAL DE ANIMALES DECOMISADOS</v>
      </c>
      <c r="B36" s="23">
        <f ca="1">IFERROR(__xludf.DUMMYFUNCTION("""COMPUTED_VALUE"""),1)</f>
        <v>1</v>
      </c>
      <c r="C36" s="23"/>
      <c r="D36" s="23" t="str">
        <f ca="1">IFERROR(__xludf.DUMMYFUNCTION("""COMPUTED_VALUE"""),"ASCENDENTE")</f>
        <v>ASCENDENTE</v>
      </c>
      <c r="E36" s="23" t="str">
        <f ca="1">IFERROR(__xludf.DUMMYFUNCTION("""COMPUTED_VALUE"""),"BITACORA OPERATIVA")</f>
        <v>BITACORA OPERATIVA</v>
      </c>
      <c r="F36" s="23">
        <f ca="1">IFERROR(__xludf.DUMMYFUNCTION("""COMPUTED_VALUE"""),0)</f>
        <v>0</v>
      </c>
      <c r="G36" s="23">
        <f ca="1">IFERROR(__xludf.DUMMYFUNCTION("""COMPUTED_VALUE"""),0)</f>
        <v>0</v>
      </c>
      <c r="H36" s="23">
        <f ca="1">IFERROR(__xludf.DUMMYFUNCTION("""COMPUTED_VALUE"""),0)</f>
        <v>0</v>
      </c>
      <c r="I36" s="23">
        <f ca="1">IFERROR(__xludf.DUMMYFUNCTION("""COMPUTED_VALUE"""),0)</f>
        <v>0</v>
      </c>
      <c r="J36" s="23">
        <f ca="1">IFERROR(__xludf.DUMMYFUNCTION("""COMPUTED_VALUE"""),0)</f>
        <v>0</v>
      </c>
      <c r="K36" s="23">
        <f ca="1">IFERROR(__xludf.DUMMYFUNCTION("""COMPUTED_VALUE"""),0)</f>
        <v>0</v>
      </c>
      <c r="L36" s="23">
        <f ca="1">IFERROR(__xludf.DUMMYFUNCTION("""COMPUTED_VALUE"""),0)</f>
        <v>0</v>
      </c>
      <c r="M36" s="23">
        <f ca="1">IFERROR(__xludf.DUMMYFUNCTION("""COMPUTED_VALUE"""),0)</f>
        <v>0</v>
      </c>
      <c r="N36" s="23">
        <f ca="1">IFERROR(__xludf.DUMMYFUNCTION("""COMPUTED_VALUE"""),0)</f>
        <v>0</v>
      </c>
      <c r="O36" s="23">
        <f ca="1">IFERROR(__xludf.DUMMYFUNCTION("""COMPUTED_VALUE"""),0)</f>
        <v>0</v>
      </c>
      <c r="P36" s="23">
        <f ca="1">IFERROR(__xludf.DUMMYFUNCTION("""COMPUTED_VALUE"""),0)</f>
        <v>0</v>
      </c>
      <c r="Q36" s="23">
        <f ca="1">IFERROR(__xludf.DUMMYFUNCTION("""COMPUTED_VALUE"""),0)</f>
        <v>0</v>
      </c>
      <c r="R36" s="23">
        <f ca="1">IFERROR(__xludf.DUMMYFUNCTION("""COMPUTED_VALUE"""),0)</f>
        <v>0</v>
      </c>
      <c r="S36" s="23">
        <f ca="1">IFERROR(__xludf.DUMMYFUNCTION("""COMPUTED_VALUE"""),0)</f>
        <v>0</v>
      </c>
    </row>
    <row r="37" spans="1:19">
      <c r="A37" s="23" t="str">
        <f ca="1">IFERROR(__xludf.DUMMYFUNCTION("""COMPUTED_VALUE"""),"NÚMERO DE REPORTES ATENDIDOS")</f>
        <v>NÚMERO DE REPORTES ATENDIDOS</v>
      </c>
      <c r="B37" s="23">
        <f ca="1">IFERROR(__xludf.DUMMYFUNCTION("""COMPUTED_VALUE"""),1)</f>
        <v>1</v>
      </c>
      <c r="C37" s="23"/>
      <c r="D37" s="23" t="str">
        <f ca="1">IFERROR(__xludf.DUMMYFUNCTION("""COMPUTED_VALUE"""),"ASCENDENTE")</f>
        <v>ASCENDENTE</v>
      </c>
      <c r="E37" s="23" t="str">
        <f ca="1">IFERROR(__xludf.DUMMYFUNCTION("""COMPUTED_VALUE"""),"BITACORA OPERATIVA")</f>
        <v>BITACORA OPERATIVA</v>
      </c>
      <c r="F37" s="23">
        <f ca="1">IFERROR(__xludf.DUMMYFUNCTION("""COMPUTED_VALUE"""),0)</f>
        <v>0</v>
      </c>
      <c r="G37" s="23">
        <f ca="1">IFERROR(__xludf.DUMMYFUNCTION("""COMPUTED_VALUE"""),0)</f>
        <v>0</v>
      </c>
      <c r="H37" s="23">
        <f ca="1">IFERROR(__xludf.DUMMYFUNCTION("""COMPUTED_VALUE"""),0)</f>
        <v>0</v>
      </c>
      <c r="I37" s="23">
        <f ca="1">IFERROR(__xludf.DUMMYFUNCTION("""COMPUTED_VALUE"""),0)</f>
        <v>0</v>
      </c>
      <c r="J37" s="23">
        <f ca="1">IFERROR(__xludf.DUMMYFUNCTION("""COMPUTED_VALUE"""),0)</f>
        <v>0</v>
      </c>
      <c r="K37" s="23">
        <f ca="1">IFERROR(__xludf.DUMMYFUNCTION("""COMPUTED_VALUE"""),0)</f>
        <v>0</v>
      </c>
      <c r="L37" s="23">
        <f ca="1">IFERROR(__xludf.DUMMYFUNCTION("""COMPUTED_VALUE"""),0)</f>
        <v>0</v>
      </c>
      <c r="M37" s="23">
        <f ca="1">IFERROR(__xludf.DUMMYFUNCTION("""COMPUTED_VALUE"""),0)</f>
        <v>0</v>
      </c>
      <c r="N37" s="23">
        <f ca="1">IFERROR(__xludf.DUMMYFUNCTION("""COMPUTED_VALUE"""),0)</f>
        <v>0</v>
      </c>
      <c r="O37" s="23">
        <f ca="1">IFERROR(__xludf.DUMMYFUNCTION("""COMPUTED_VALUE"""),0)</f>
        <v>0</v>
      </c>
      <c r="P37" s="23">
        <f ca="1">IFERROR(__xludf.DUMMYFUNCTION("""COMPUTED_VALUE"""),0)</f>
        <v>0</v>
      </c>
      <c r="Q37" s="23">
        <f ca="1">IFERROR(__xludf.DUMMYFUNCTION("""COMPUTED_VALUE"""),0)</f>
        <v>0</v>
      </c>
      <c r="R37" s="23">
        <f ca="1">IFERROR(__xludf.DUMMYFUNCTION("""COMPUTED_VALUE"""),0)</f>
        <v>0</v>
      </c>
      <c r="S37" s="23">
        <f ca="1">IFERROR(__xludf.DUMMYFUNCTION("""COMPUTED_VALUE"""),0)</f>
        <v>0</v>
      </c>
    </row>
    <row r="38" spans="1:19">
      <c r="A38" s="23" t="str">
        <f ca="1">IFERROR(__xludf.DUMMYFUNCTION("""COMPUTED_VALUE"""),"NÚMERO DE INSPECCIONES")</f>
        <v>NÚMERO DE INSPECCIONES</v>
      </c>
      <c r="B38" s="23">
        <f ca="1">IFERROR(__xludf.DUMMYFUNCTION("""COMPUTED_VALUE"""),1)</f>
        <v>1</v>
      </c>
      <c r="C38" s="23"/>
      <c r="D38" s="23" t="str">
        <f ca="1">IFERROR(__xludf.DUMMYFUNCTION("""COMPUTED_VALUE"""),"ASCENDENTE")</f>
        <v>ASCENDENTE</v>
      </c>
      <c r="E38" s="23" t="str">
        <f ca="1">IFERROR(__xludf.DUMMYFUNCTION("""COMPUTED_VALUE"""),"BITACORA OPERATIVA")</f>
        <v>BITACORA OPERATIVA</v>
      </c>
      <c r="F38" s="23">
        <f ca="1">IFERROR(__xludf.DUMMYFUNCTION("""COMPUTED_VALUE"""),0)</f>
        <v>0</v>
      </c>
      <c r="G38" s="23">
        <f ca="1">IFERROR(__xludf.DUMMYFUNCTION("""COMPUTED_VALUE"""),0)</f>
        <v>0</v>
      </c>
      <c r="H38" s="23">
        <f ca="1">IFERROR(__xludf.DUMMYFUNCTION("""COMPUTED_VALUE"""),0)</f>
        <v>0</v>
      </c>
      <c r="I38" s="23">
        <f ca="1">IFERROR(__xludf.DUMMYFUNCTION("""COMPUTED_VALUE"""),0)</f>
        <v>0</v>
      </c>
      <c r="J38" s="23">
        <f ca="1">IFERROR(__xludf.DUMMYFUNCTION("""COMPUTED_VALUE"""),0)</f>
        <v>0</v>
      </c>
      <c r="K38" s="23">
        <f ca="1">IFERROR(__xludf.DUMMYFUNCTION("""COMPUTED_VALUE"""),0)</f>
        <v>0</v>
      </c>
      <c r="L38" s="23">
        <f ca="1">IFERROR(__xludf.DUMMYFUNCTION("""COMPUTED_VALUE"""),0)</f>
        <v>0</v>
      </c>
      <c r="M38" s="23">
        <f ca="1">IFERROR(__xludf.DUMMYFUNCTION("""COMPUTED_VALUE"""),0)</f>
        <v>0</v>
      </c>
      <c r="N38" s="23">
        <f ca="1">IFERROR(__xludf.DUMMYFUNCTION("""COMPUTED_VALUE"""),0)</f>
        <v>0</v>
      </c>
      <c r="O38" s="23">
        <f ca="1">IFERROR(__xludf.DUMMYFUNCTION("""COMPUTED_VALUE"""),0)</f>
        <v>0</v>
      </c>
      <c r="P38" s="23">
        <f ca="1">IFERROR(__xludf.DUMMYFUNCTION("""COMPUTED_VALUE"""),0)</f>
        <v>0</v>
      </c>
      <c r="Q38" s="23">
        <f ca="1">IFERROR(__xludf.DUMMYFUNCTION("""COMPUTED_VALUE"""),0)</f>
        <v>0</v>
      </c>
      <c r="R38" s="23">
        <f ca="1">IFERROR(__xludf.DUMMYFUNCTION("""COMPUTED_VALUE"""),0)</f>
        <v>0</v>
      </c>
      <c r="S38" s="23">
        <f ca="1">IFERROR(__xludf.DUMMYFUNCTION("""COMPUTED_VALUE"""),0)</f>
        <v>0</v>
      </c>
    </row>
    <row r="39" spans="1:19">
      <c r="A39" s="23" t="str">
        <f ca="1">IFERROR(__xludf.DUMMYFUNCTION("""COMPUTED_VALUE"""),"OBRADORES")</f>
        <v>OBRADORES</v>
      </c>
      <c r="B39" s="23">
        <f ca="1">IFERROR(__xludf.DUMMYFUNCTION("""COMPUTED_VALUE"""),1)</f>
        <v>1</v>
      </c>
      <c r="C39" s="23"/>
      <c r="D39" s="23" t="str">
        <f ca="1">IFERROR(__xludf.DUMMYFUNCTION("""COMPUTED_VALUE"""),"ASCENDENTE")</f>
        <v>ASCENDENTE</v>
      </c>
      <c r="E39" s="23" t="str">
        <f ca="1">IFERROR(__xludf.DUMMYFUNCTION("""COMPUTED_VALUE"""),"BITACORA OPERATIVA")</f>
        <v>BITACORA OPERATIVA</v>
      </c>
      <c r="F39" s="23">
        <f ca="1">IFERROR(__xludf.DUMMYFUNCTION("""COMPUTED_VALUE"""),0)</f>
        <v>0</v>
      </c>
      <c r="G39" s="23">
        <f ca="1">IFERROR(__xludf.DUMMYFUNCTION("""COMPUTED_VALUE"""),0)</f>
        <v>0</v>
      </c>
      <c r="H39" s="23">
        <f ca="1">IFERROR(__xludf.DUMMYFUNCTION("""COMPUTED_VALUE"""),0)</f>
        <v>0</v>
      </c>
      <c r="I39" s="23">
        <f ca="1">IFERROR(__xludf.DUMMYFUNCTION("""COMPUTED_VALUE"""),0)</f>
        <v>0</v>
      </c>
      <c r="J39" s="23">
        <f ca="1">IFERROR(__xludf.DUMMYFUNCTION("""COMPUTED_VALUE"""),0)</f>
        <v>0</v>
      </c>
      <c r="K39" s="23">
        <f ca="1">IFERROR(__xludf.DUMMYFUNCTION("""COMPUTED_VALUE"""),0)</f>
        <v>0</v>
      </c>
      <c r="L39" s="23">
        <f ca="1">IFERROR(__xludf.DUMMYFUNCTION("""COMPUTED_VALUE"""),0)</f>
        <v>0</v>
      </c>
      <c r="M39" s="23">
        <f ca="1">IFERROR(__xludf.DUMMYFUNCTION("""COMPUTED_VALUE"""),0)</f>
        <v>0</v>
      </c>
      <c r="N39" s="23">
        <f ca="1">IFERROR(__xludf.DUMMYFUNCTION("""COMPUTED_VALUE"""),0)</f>
        <v>0</v>
      </c>
      <c r="O39" s="23">
        <f ca="1">IFERROR(__xludf.DUMMYFUNCTION("""COMPUTED_VALUE"""),0)</f>
        <v>0</v>
      </c>
      <c r="P39" s="23">
        <f ca="1">IFERROR(__xludf.DUMMYFUNCTION("""COMPUTED_VALUE"""),0)</f>
        <v>0</v>
      </c>
      <c r="Q39" s="23">
        <f ca="1">IFERROR(__xludf.DUMMYFUNCTION("""COMPUTED_VALUE"""),0)</f>
        <v>0</v>
      </c>
      <c r="R39" s="23">
        <f ca="1">IFERROR(__xludf.DUMMYFUNCTION("""COMPUTED_VALUE"""),0)</f>
        <v>0</v>
      </c>
      <c r="S39" s="23">
        <f ca="1">IFERROR(__xludf.DUMMYFUNCTION("""COMPUTED_VALUE"""),0)</f>
        <v>0</v>
      </c>
    </row>
    <row r="40" spans="1:19">
      <c r="A40" s="23" t="str">
        <f ca="1">IFERROR(__xludf.DUMMYFUNCTION("""COMPUTED_VALUE"""),"POLLERIAS ")</f>
        <v xml:space="preserve">POLLERIAS </v>
      </c>
      <c r="B40" s="23">
        <f ca="1">IFERROR(__xludf.DUMMYFUNCTION("""COMPUTED_VALUE"""),1)</f>
        <v>1</v>
      </c>
      <c r="C40" s="23"/>
      <c r="D40" s="23" t="str">
        <f ca="1">IFERROR(__xludf.DUMMYFUNCTION("""COMPUTED_VALUE"""),"ASCENDENTE")</f>
        <v>ASCENDENTE</v>
      </c>
      <c r="E40" s="23" t="str">
        <f ca="1">IFERROR(__xludf.DUMMYFUNCTION("""COMPUTED_VALUE"""),"BITACORA OPERATIVA")</f>
        <v>BITACORA OPERATIVA</v>
      </c>
      <c r="F40" s="23">
        <f ca="1">IFERROR(__xludf.DUMMYFUNCTION("""COMPUTED_VALUE"""),0)</f>
        <v>0</v>
      </c>
      <c r="G40" s="23">
        <f ca="1">IFERROR(__xludf.DUMMYFUNCTION("""COMPUTED_VALUE"""),0)</f>
        <v>0</v>
      </c>
      <c r="H40" s="23">
        <f ca="1">IFERROR(__xludf.DUMMYFUNCTION("""COMPUTED_VALUE"""),0)</f>
        <v>0</v>
      </c>
      <c r="I40" s="23">
        <f ca="1">IFERROR(__xludf.DUMMYFUNCTION("""COMPUTED_VALUE"""),0)</f>
        <v>0</v>
      </c>
      <c r="J40" s="23">
        <f ca="1">IFERROR(__xludf.DUMMYFUNCTION("""COMPUTED_VALUE"""),0)</f>
        <v>0</v>
      </c>
      <c r="K40" s="23">
        <f ca="1">IFERROR(__xludf.DUMMYFUNCTION("""COMPUTED_VALUE"""),0)</f>
        <v>0</v>
      </c>
      <c r="L40" s="23">
        <f ca="1">IFERROR(__xludf.DUMMYFUNCTION("""COMPUTED_VALUE"""),0)</f>
        <v>0</v>
      </c>
      <c r="M40" s="23">
        <f ca="1">IFERROR(__xludf.DUMMYFUNCTION("""COMPUTED_VALUE"""),0)</f>
        <v>0</v>
      </c>
      <c r="N40" s="23">
        <f ca="1">IFERROR(__xludf.DUMMYFUNCTION("""COMPUTED_VALUE"""),0)</f>
        <v>0</v>
      </c>
      <c r="O40" s="23">
        <f ca="1">IFERROR(__xludf.DUMMYFUNCTION("""COMPUTED_VALUE"""),0)</f>
        <v>0</v>
      </c>
      <c r="P40" s="23">
        <f ca="1">IFERROR(__xludf.DUMMYFUNCTION("""COMPUTED_VALUE"""),0)</f>
        <v>0</v>
      </c>
      <c r="Q40" s="23">
        <f ca="1">IFERROR(__xludf.DUMMYFUNCTION("""COMPUTED_VALUE"""),0)</f>
        <v>0</v>
      </c>
      <c r="R40" s="23">
        <f ca="1">IFERROR(__xludf.DUMMYFUNCTION("""COMPUTED_VALUE"""),0)</f>
        <v>0</v>
      </c>
      <c r="S40" s="23">
        <f ca="1">IFERROR(__xludf.DUMMYFUNCTION("""COMPUTED_VALUE"""),0)</f>
        <v>0</v>
      </c>
    </row>
    <row r="41" spans="1:19">
      <c r="A41" s="23" t="str">
        <f ca="1">IFERROR(__xludf.DUMMYFUNCTION("""COMPUTED_VALUE"""),"CARNICERIAS")</f>
        <v>CARNICERIAS</v>
      </c>
      <c r="B41" s="23">
        <f ca="1">IFERROR(__xludf.DUMMYFUNCTION("""COMPUTED_VALUE"""),1)</f>
        <v>1</v>
      </c>
      <c r="C41" s="23"/>
      <c r="D41" s="23" t="str">
        <f ca="1">IFERROR(__xludf.DUMMYFUNCTION("""COMPUTED_VALUE"""),"ASCENDENTE")</f>
        <v>ASCENDENTE</v>
      </c>
      <c r="E41" s="23" t="str">
        <f ca="1">IFERROR(__xludf.DUMMYFUNCTION("""COMPUTED_VALUE"""),"BITACORA OPERATIVA")</f>
        <v>BITACORA OPERATIVA</v>
      </c>
      <c r="F41" s="23">
        <f ca="1">IFERROR(__xludf.DUMMYFUNCTION("""COMPUTED_VALUE"""),0)</f>
        <v>0</v>
      </c>
      <c r="G41" s="23">
        <f ca="1">IFERROR(__xludf.DUMMYFUNCTION("""COMPUTED_VALUE"""),0)</f>
        <v>0</v>
      </c>
      <c r="H41" s="23">
        <f ca="1">IFERROR(__xludf.DUMMYFUNCTION("""COMPUTED_VALUE"""),0)</f>
        <v>0</v>
      </c>
      <c r="I41" s="23">
        <f ca="1">IFERROR(__xludf.DUMMYFUNCTION("""COMPUTED_VALUE"""),0)</f>
        <v>0</v>
      </c>
      <c r="J41" s="23">
        <f ca="1">IFERROR(__xludf.DUMMYFUNCTION("""COMPUTED_VALUE"""),0)</f>
        <v>0</v>
      </c>
      <c r="K41" s="23">
        <f ca="1">IFERROR(__xludf.DUMMYFUNCTION("""COMPUTED_VALUE"""),0)</f>
        <v>0</v>
      </c>
      <c r="L41" s="23">
        <f ca="1">IFERROR(__xludf.DUMMYFUNCTION("""COMPUTED_VALUE"""),0)</f>
        <v>0</v>
      </c>
      <c r="M41" s="23">
        <f ca="1">IFERROR(__xludf.DUMMYFUNCTION("""COMPUTED_VALUE"""),0)</f>
        <v>0</v>
      </c>
      <c r="N41" s="23">
        <f ca="1">IFERROR(__xludf.DUMMYFUNCTION("""COMPUTED_VALUE"""),0)</f>
        <v>0</v>
      </c>
      <c r="O41" s="23">
        <f ca="1">IFERROR(__xludf.DUMMYFUNCTION("""COMPUTED_VALUE"""),0)</f>
        <v>0</v>
      </c>
      <c r="P41" s="23">
        <f ca="1">IFERROR(__xludf.DUMMYFUNCTION("""COMPUTED_VALUE"""),0)</f>
        <v>0</v>
      </c>
      <c r="Q41" s="23">
        <f ca="1">IFERROR(__xludf.DUMMYFUNCTION("""COMPUTED_VALUE"""),0)</f>
        <v>0</v>
      </c>
      <c r="R41" s="23">
        <f ca="1">IFERROR(__xludf.DUMMYFUNCTION("""COMPUTED_VALUE"""),0)</f>
        <v>0</v>
      </c>
      <c r="S41" s="23">
        <f ca="1">IFERROR(__xludf.DUMMYFUNCTION("""COMPUTED_VALUE"""),0)</f>
        <v>0</v>
      </c>
    </row>
    <row r="42" spans="1:19">
      <c r="A42" s="23" t="str">
        <f ca="1">IFERROR(__xludf.DUMMYFUNCTION("""COMPUTED_VALUE"""),"TOTAL DE KG DECOMISADOS")</f>
        <v>TOTAL DE KG DECOMISADOS</v>
      </c>
      <c r="B42" s="23">
        <f ca="1">IFERROR(__xludf.DUMMYFUNCTION("""COMPUTED_VALUE"""),1)</f>
        <v>1</v>
      </c>
      <c r="C42" s="23"/>
      <c r="D42" s="23" t="str">
        <f ca="1">IFERROR(__xludf.DUMMYFUNCTION("""COMPUTED_VALUE"""),"ASCENDENTE")</f>
        <v>ASCENDENTE</v>
      </c>
      <c r="E42" s="23" t="str">
        <f ca="1">IFERROR(__xludf.DUMMYFUNCTION("""COMPUTED_VALUE"""),"BITACORA OPERATIVA")</f>
        <v>BITACORA OPERATIVA</v>
      </c>
      <c r="F42" s="23">
        <f ca="1">IFERROR(__xludf.DUMMYFUNCTION("""COMPUTED_VALUE"""),0)</f>
        <v>0</v>
      </c>
      <c r="G42" s="23">
        <f ca="1">IFERROR(__xludf.DUMMYFUNCTION("""COMPUTED_VALUE"""),0)</f>
        <v>0</v>
      </c>
      <c r="H42" s="23">
        <f ca="1">IFERROR(__xludf.DUMMYFUNCTION("""COMPUTED_VALUE"""),0)</f>
        <v>0</v>
      </c>
      <c r="I42" s="23">
        <f ca="1">IFERROR(__xludf.DUMMYFUNCTION("""COMPUTED_VALUE"""),0)</f>
        <v>0</v>
      </c>
      <c r="J42" s="23">
        <f ca="1">IFERROR(__xludf.DUMMYFUNCTION("""COMPUTED_VALUE"""),0)</f>
        <v>0</v>
      </c>
      <c r="K42" s="23">
        <f ca="1">IFERROR(__xludf.DUMMYFUNCTION("""COMPUTED_VALUE"""),0)</f>
        <v>0</v>
      </c>
      <c r="L42" s="23">
        <f ca="1">IFERROR(__xludf.DUMMYFUNCTION("""COMPUTED_VALUE"""),0)</f>
        <v>0</v>
      </c>
      <c r="M42" s="23">
        <f ca="1">IFERROR(__xludf.DUMMYFUNCTION("""COMPUTED_VALUE"""),0)</f>
        <v>0</v>
      </c>
      <c r="N42" s="23">
        <f ca="1">IFERROR(__xludf.DUMMYFUNCTION("""COMPUTED_VALUE"""),0)</f>
        <v>0</v>
      </c>
      <c r="O42" s="23">
        <f ca="1">IFERROR(__xludf.DUMMYFUNCTION("""COMPUTED_VALUE"""),0)</f>
        <v>0</v>
      </c>
      <c r="P42" s="23">
        <f ca="1">IFERROR(__xludf.DUMMYFUNCTION("""COMPUTED_VALUE"""),0)</f>
        <v>0</v>
      </c>
      <c r="Q42" s="23">
        <f ca="1">IFERROR(__xludf.DUMMYFUNCTION("""COMPUTED_VALUE"""),0)</f>
        <v>0</v>
      </c>
      <c r="R42" s="23">
        <f ca="1">IFERROR(__xludf.DUMMYFUNCTION("""COMPUTED_VALUE"""),0)</f>
        <v>0</v>
      </c>
      <c r="S42" s="23">
        <f ca="1">IFERROR(__xludf.DUMMYFUNCTION("""COMPUTED_VALUE"""),0)</f>
        <v>0</v>
      </c>
    </row>
    <row r="43" spans="1:19">
      <c r="A43" s="23" t="str">
        <f ca="1">IFERROR(__xludf.DUMMYFUNCTION("""COMPUTED_VALUE"""),"MANTENIMIENTO DE LUMINARIAS DELEGACIONES Y COMUNIDADES")</f>
        <v>MANTENIMIENTO DE LUMINARIAS DELEGACIONES Y COMUNIDADES</v>
      </c>
      <c r="B43" s="23">
        <f ca="1">IFERROR(__xludf.DUMMYFUNCTION("""COMPUTED_VALUE"""),1)</f>
        <v>1</v>
      </c>
      <c r="C43" s="23"/>
      <c r="D43" s="23" t="str">
        <f ca="1">IFERROR(__xludf.DUMMYFUNCTION("""COMPUTED_VALUE"""),"ASCENDENTE")</f>
        <v>ASCENDENTE</v>
      </c>
      <c r="E43" s="23" t="str">
        <f ca="1">IFERROR(__xludf.DUMMYFUNCTION("""COMPUTED_VALUE"""),"BITACORA OPERATIVA")</f>
        <v>BITACORA OPERATIVA</v>
      </c>
      <c r="F43" s="23">
        <f ca="1">IFERROR(__xludf.DUMMYFUNCTION("""COMPUTED_VALUE"""),0)</f>
        <v>0</v>
      </c>
      <c r="G43" s="23">
        <f ca="1">IFERROR(__xludf.DUMMYFUNCTION("""COMPUTED_VALUE"""),0)</f>
        <v>0</v>
      </c>
      <c r="H43" s="23">
        <f ca="1">IFERROR(__xludf.DUMMYFUNCTION("""COMPUTED_VALUE"""),0)</f>
        <v>0</v>
      </c>
      <c r="I43" s="23">
        <f ca="1">IFERROR(__xludf.DUMMYFUNCTION("""COMPUTED_VALUE"""),0)</f>
        <v>0</v>
      </c>
      <c r="J43" s="23">
        <f ca="1">IFERROR(__xludf.DUMMYFUNCTION("""COMPUTED_VALUE"""),0)</f>
        <v>0</v>
      </c>
      <c r="K43" s="23">
        <f ca="1">IFERROR(__xludf.DUMMYFUNCTION("""COMPUTED_VALUE"""),86)</f>
        <v>86</v>
      </c>
      <c r="L43" s="23">
        <f ca="1">IFERROR(__xludf.DUMMYFUNCTION("""COMPUTED_VALUE"""),93)</f>
        <v>93</v>
      </c>
      <c r="M43" s="23">
        <f ca="1">IFERROR(__xludf.DUMMYFUNCTION("""COMPUTED_VALUE"""),0)</f>
        <v>0</v>
      </c>
      <c r="N43" s="23">
        <f ca="1">IFERROR(__xludf.DUMMYFUNCTION("""COMPUTED_VALUE"""),0)</f>
        <v>0</v>
      </c>
      <c r="O43" s="23">
        <f ca="1">IFERROR(__xludf.DUMMYFUNCTION("""COMPUTED_VALUE"""),0)</f>
        <v>0</v>
      </c>
      <c r="P43" s="23">
        <f ca="1">IFERROR(__xludf.DUMMYFUNCTION("""COMPUTED_VALUE"""),0)</f>
        <v>0</v>
      </c>
      <c r="Q43" s="23">
        <f ca="1">IFERROR(__xludf.DUMMYFUNCTION("""COMPUTED_VALUE"""),0)</f>
        <v>0</v>
      </c>
      <c r="R43" s="23">
        <f ca="1">IFERROR(__xludf.DUMMYFUNCTION("""COMPUTED_VALUE"""),0)</f>
        <v>0</v>
      </c>
      <c r="S43" s="23">
        <f ca="1">IFERROR(__xludf.DUMMYFUNCTION("""COMPUTED_VALUE"""),179)</f>
        <v>179</v>
      </c>
    </row>
    <row r="44" spans="1:19">
      <c r="A44" s="23" t="str">
        <f ca="1">IFERROR(__xludf.DUMMYFUNCTION("""COMPUTED_VALUE"""),"MANTENIMIENTO DE LUMINARIAS EN CABECERA MUNICIPAL")</f>
        <v>MANTENIMIENTO DE LUMINARIAS EN CABECERA MUNICIPAL</v>
      </c>
      <c r="B44" s="23">
        <f ca="1">IFERROR(__xludf.DUMMYFUNCTION("""COMPUTED_VALUE"""),1)</f>
        <v>1</v>
      </c>
      <c r="C44" s="23"/>
      <c r="D44" s="23" t="str">
        <f ca="1">IFERROR(__xludf.DUMMYFUNCTION("""COMPUTED_VALUE"""),"ASCENDENTE")</f>
        <v>ASCENDENTE</v>
      </c>
      <c r="E44" s="23" t="str">
        <f ca="1">IFERROR(__xludf.DUMMYFUNCTION("""COMPUTED_VALUE"""),"BITACORA OPERATIVA")</f>
        <v>BITACORA OPERATIVA</v>
      </c>
      <c r="F44" s="23">
        <f ca="1">IFERROR(__xludf.DUMMYFUNCTION("""COMPUTED_VALUE"""),0)</f>
        <v>0</v>
      </c>
      <c r="G44" s="23">
        <f ca="1">IFERROR(__xludf.DUMMYFUNCTION("""COMPUTED_VALUE"""),0)</f>
        <v>0</v>
      </c>
      <c r="H44" s="23">
        <f ca="1">IFERROR(__xludf.DUMMYFUNCTION("""COMPUTED_VALUE"""),0)</f>
        <v>0</v>
      </c>
      <c r="I44" s="23">
        <f ca="1">IFERROR(__xludf.DUMMYFUNCTION("""COMPUTED_VALUE"""),0)</f>
        <v>0</v>
      </c>
      <c r="J44" s="23">
        <f ca="1">IFERROR(__xludf.DUMMYFUNCTION("""COMPUTED_VALUE"""),0)</f>
        <v>0</v>
      </c>
      <c r="K44" s="23">
        <f ca="1">IFERROR(__xludf.DUMMYFUNCTION("""COMPUTED_VALUE"""),97)</f>
        <v>97</v>
      </c>
      <c r="L44" s="23">
        <f ca="1">IFERROR(__xludf.DUMMYFUNCTION("""COMPUTED_VALUE"""),83)</f>
        <v>83</v>
      </c>
      <c r="M44" s="23">
        <f ca="1">IFERROR(__xludf.DUMMYFUNCTION("""COMPUTED_VALUE"""),0)</f>
        <v>0</v>
      </c>
      <c r="N44" s="23">
        <f ca="1">IFERROR(__xludf.DUMMYFUNCTION("""COMPUTED_VALUE"""),0)</f>
        <v>0</v>
      </c>
      <c r="O44" s="23">
        <f ca="1">IFERROR(__xludf.DUMMYFUNCTION("""COMPUTED_VALUE"""),0)</f>
        <v>0</v>
      </c>
      <c r="P44" s="23">
        <f ca="1">IFERROR(__xludf.DUMMYFUNCTION("""COMPUTED_VALUE"""),0)</f>
        <v>0</v>
      </c>
      <c r="Q44" s="23">
        <f ca="1">IFERROR(__xludf.DUMMYFUNCTION("""COMPUTED_VALUE"""),0)</f>
        <v>0</v>
      </c>
      <c r="R44" s="23">
        <f ca="1">IFERROR(__xludf.DUMMYFUNCTION("""COMPUTED_VALUE"""),0)</f>
        <v>0</v>
      </c>
      <c r="S44" s="23">
        <f ca="1">IFERROR(__xludf.DUMMYFUNCTION("""COMPUTED_VALUE"""),180)</f>
        <v>180</v>
      </c>
    </row>
    <row r="45" spans="1:19">
      <c r="A45" s="23" t="str">
        <f ca="1">IFERROR(__xludf.DUMMYFUNCTION("""COMPUTED_VALUE"""),"INSTALACIÓN DE LÁMPARAS NUEVAS DELEGACIONES Y COMUNIDADES")</f>
        <v>INSTALACIÓN DE LÁMPARAS NUEVAS DELEGACIONES Y COMUNIDADES</v>
      </c>
      <c r="B45" s="23">
        <f ca="1">IFERROR(__xludf.DUMMYFUNCTION("""COMPUTED_VALUE"""),1)</f>
        <v>1</v>
      </c>
      <c r="C45" s="23"/>
      <c r="D45" s="23" t="str">
        <f ca="1">IFERROR(__xludf.DUMMYFUNCTION("""COMPUTED_VALUE"""),"ASCENDENTE")</f>
        <v>ASCENDENTE</v>
      </c>
      <c r="E45" s="23" t="str">
        <f ca="1">IFERROR(__xludf.DUMMYFUNCTION("""COMPUTED_VALUE"""),"BITACORA OPERATIVA")</f>
        <v>BITACORA OPERATIVA</v>
      </c>
      <c r="F45" s="23">
        <f ca="1">IFERROR(__xludf.DUMMYFUNCTION("""COMPUTED_VALUE"""),0)</f>
        <v>0</v>
      </c>
      <c r="G45" s="23">
        <f ca="1">IFERROR(__xludf.DUMMYFUNCTION("""COMPUTED_VALUE"""),0)</f>
        <v>0</v>
      </c>
      <c r="H45" s="23">
        <f ca="1">IFERROR(__xludf.DUMMYFUNCTION("""COMPUTED_VALUE"""),0)</f>
        <v>0</v>
      </c>
      <c r="I45" s="23">
        <f ca="1">IFERROR(__xludf.DUMMYFUNCTION("""COMPUTED_VALUE"""),0)</f>
        <v>0</v>
      </c>
      <c r="J45" s="23">
        <f ca="1">IFERROR(__xludf.DUMMYFUNCTION("""COMPUTED_VALUE"""),0)</f>
        <v>0</v>
      </c>
      <c r="K45" s="23">
        <f ca="1">IFERROR(__xludf.DUMMYFUNCTION("""COMPUTED_VALUE"""),0)</f>
        <v>0</v>
      </c>
      <c r="L45" s="23">
        <f ca="1">IFERROR(__xludf.DUMMYFUNCTION("""COMPUTED_VALUE"""),9)</f>
        <v>9</v>
      </c>
      <c r="M45" s="23">
        <f ca="1">IFERROR(__xludf.DUMMYFUNCTION("""COMPUTED_VALUE"""),0)</f>
        <v>0</v>
      </c>
      <c r="N45" s="23">
        <f ca="1">IFERROR(__xludf.DUMMYFUNCTION("""COMPUTED_VALUE"""),0)</f>
        <v>0</v>
      </c>
      <c r="O45" s="23">
        <f ca="1">IFERROR(__xludf.DUMMYFUNCTION("""COMPUTED_VALUE"""),0)</f>
        <v>0</v>
      </c>
      <c r="P45" s="23">
        <f ca="1">IFERROR(__xludf.DUMMYFUNCTION("""COMPUTED_VALUE"""),0)</f>
        <v>0</v>
      </c>
      <c r="Q45" s="23">
        <f ca="1">IFERROR(__xludf.DUMMYFUNCTION("""COMPUTED_VALUE"""),0)</f>
        <v>0</v>
      </c>
      <c r="R45" s="23">
        <f ca="1">IFERROR(__xludf.DUMMYFUNCTION("""COMPUTED_VALUE"""),0)</f>
        <v>0</v>
      </c>
      <c r="S45" s="23">
        <f ca="1">IFERROR(__xludf.DUMMYFUNCTION("""COMPUTED_VALUE"""),9)</f>
        <v>9</v>
      </c>
    </row>
    <row r="46" spans="1:19">
      <c r="A46" s="23" t="str">
        <f ca="1">IFERROR(__xludf.DUMMYFUNCTION("""COMPUTED_VALUE"""),"INSTALACIÓN DE LÁMPARAS NUEVAS CABECERA MUNICIPAL")</f>
        <v>INSTALACIÓN DE LÁMPARAS NUEVAS CABECERA MUNICIPAL</v>
      </c>
      <c r="B46" s="23">
        <f ca="1">IFERROR(__xludf.DUMMYFUNCTION("""COMPUTED_VALUE"""),1)</f>
        <v>1</v>
      </c>
      <c r="C46" s="23"/>
      <c r="D46" s="23" t="str">
        <f ca="1">IFERROR(__xludf.DUMMYFUNCTION("""COMPUTED_VALUE"""),"ASCENDENTE")</f>
        <v>ASCENDENTE</v>
      </c>
      <c r="E46" s="23" t="str">
        <f ca="1">IFERROR(__xludf.DUMMYFUNCTION("""COMPUTED_VALUE"""),"BITACORA OPERATIVA")</f>
        <v>BITACORA OPERATIVA</v>
      </c>
      <c r="F46" s="23">
        <f ca="1">IFERROR(__xludf.DUMMYFUNCTION("""COMPUTED_VALUE"""),0)</f>
        <v>0</v>
      </c>
      <c r="G46" s="23">
        <f ca="1">IFERROR(__xludf.DUMMYFUNCTION("""COMPUTED_VALUE"""),0)</f>
        <v>0</v>
      </c>
      <c r="H46" s="23">
        <f ca="1">IFERROR(__xludf.DUMMYFUNCTION("""COMPUTED_VALUE"""),0)</f>
        <v>0</v>
      </c>
      <c r="I46" s="23">
        <f ca="1">IFERROR(__xludf.DUMMYFUNCTION("""COMPUTED_VALUE"""),0)</f>
        <v>0</v>
      </c>
      <c r="J46" s="23">
        <f ca="1">IFERROR(__xludf.DUMMYFUNCTION("""COMPUTED_VALUE"""),0)</f>
        <v>0</v>
      </c>
      <c r="K46" s="23">
        <f ca="1">IFERROR(__xludf.DUMMYFUNCTION("""COMPUTED_VALUE"""),5)</f>
        <v>5</v>
      </c>
      <c r="L46" s="23">
        <f ca="1">IFERROR(__xludf.DUMMYFUNCTION("""COMPUTED_VALUE"""),0)</f>
        <v>0</v>
      </c>
      <c r="M46" s="23">
        <f ca="1">IFERROR(__xludf.DUMMYFUNCTION("""COMPUTED_VALUE"""),0)</f>
        <v>0</v>
      </c>
      <c r="N46" s="23">
        <f ca="1">IFERROR(__xludf.DUMMYFUNCTION("""COMPUTED_VALUE"""),0)</f>
        <v>0</v>
      </c>
      <c r="O46" s="23">
        <f ca="1">IFERROR(__xludf.DUMMYFUNCTION("""COMPUTED_VALUE"""),0)</f>
        <v>0</v>
      </c>
      <c r="P46" s="23">
        <f ca="1">IFERROR(__xludf.DUMMYFUNCTION("""COMPUTED_VALUE"""),0)</f>
        <v>0</v>
      </c>
      <c r="Q46" s="23">
        <f ca="1">IFERROR(__xludf.DUMMYFUNCTION("""COMPUTED_VALUE"""),0)</f>
        <v>0</v>
      </c>
      <c r="R46" s="23">
        <f ca="1">IFERROR(__xludf.DUMMYFUNCTION("""COMPUTED_VALUE"""),0)</f>
        <v>0</v>
      </c>
      <c r="S46" s="23">
        <f ca="1">IFERROR(__xludf.DUMMYFUNCTION("""COMPUTED_VALUE"""),5)</f>
        <v>5</v>
      </c>
    </row>
    <row r="47" spans="1:19">
      <c r="A47" s="23" t="str">
        <f ca="1">IFERROR(__xludf.DUMMYFUNCTION("""COMPUTED_VALUE"""),"NÚMERO DE SOLICITUDES PARA LÁMPARAS NUEVAS ")</f>
        <v xml:space="preserve">NÚMERO DE SOLICITUDES PARA LÁMPARAS NUEVAS </v>
      </c>
      <c r="B47" s="23">
        <f ca="1">IFERROR(__xludf.DUMMYFUNCTION("""COMPUTED_VALUE"""),1)</f>
        <v>1</v>
      </c>
      <c r="C47" s="23"/>
      <c r="D47" s="23" t="str">
        <f ca="1">IFERROR(__xludf.DUMMYFUNCTION("""COMPUTED_VALUE"""),"ASCENDENTE")</f>
        <v>ASCENDENTE</v>
      </c>
      <c r="E47" s="23" t="str">
        <f ca="1">IFERROR(__xludf.DUMMYFUNCTION("""COMPUTED_VALUE"""),"BITACORA OPERATIVA")</f>
        <v>BITACORA OPERATIVA</v>
      </c>
      <c r="F47" s="23">
        <f ca="1">IFERROR(__xludf.DUMMYFUNCTION("""COMPUTED_VALUE"""),0)</f>
        <v>0</v>
      </c>
      <c r="G47" s="23">
        <f ca="1">IFERROR(__xludf.DUMMYFUNCTION("""COMPUTED_VALUE"""),0)</f>
        <v>0</v>
      </c>
      <c r="H47" s="23">
        <f ca="1">IFERROR(__xludf.DUMMYFUNCTION("""COMPUTED_VALUE"""),0)</f>
        <v>0</v>
      </c>
      <c r="I47" s="23">
        <f ca="1">IFERROR(__xludf.DUMMYFUNCTION("""COMPUTED_VALUE"""),0)</f>
        <v>0</v>
      </c>
      <c r="J47" s="23">
        <f ca="1">IFERROR(__xludf.DUMMYFUNCTION("""COMPUTED_VALUE"""),0)</f>
        <v>0</v>
      </c>
      <c r="K47" s="23">
        <f ca="1">IFERROR(__xludf.DUMMYFUNCTION("""COMPUTED_VALUE"""),6)</f>
        <v>6</v>
      </c>
      <c r="L47" s="23">
        <f ca="1">IFERROR(__xludf.DUMMYFUNCTION("""COMPUTED_VALUE"""),5)</f>
        <v>5</v>
      </c>
      <c r="M47" s="23">
        <f ca="1">IFERROR(__xludf.DUMMYFUNCTION("""COMPUTED_VALUE"""),0)</f>
        <v>0</v>
      </c>
      <c r="N47" s="23">
        <f ca="1">IFERROR(__xludf.DUMMYFUNCTION("""COMPUTED_VALUE"""),0)</f>
        <v>0</v>
      </c>
      <c r="O47" s="23">
        <f ca="1">IFERROR(__xludf.DUMMYFUNCTION("""COMPUTED_VALUE"""),0)</f>
        <v>0</v>
      </c>
      <c r="P47" s="23">
        <f ca="1">IFERROR(__xludf.DUMMYFUNCTION("""COMPUTED_VALUE"""),0)</f>
        <v>0</v>
      </c>
      <c r="Q47" s="23">
        <f ca="1">IFERROR(__xludf.DUMMYFUNCTION("""COMPUTED_VALUE"""),0)</f>
        <v>0</v>
      </c>
      <c r="R47" s="23">
        <f ca="1">IFERROR(__xludf.DUMMYFUNCTION("""COMPUTED_VALUE"""),0)</f>
        <v>0</v>
      </c>
      <c r="S47" s="23">
        <f ca="1">IFERROR(__xludf.DUMMYFUNCTION("""COMPUTED_VALUE"""),11)</f>
        <v>11</v>
      </c>
    </row>
    <row r="48" spans="1:19">
      <c r="A48" s="23" t="str">
        <f ca="1">IFERROR(__xludf.DUMMYFUNCTION("""COMPUTED_VALUE"""),"censo actual de LUMINARIAS")</f>
        <v>censo actual de LUMINARIAS</v>
      </c>
      <c r="B48" s="23">
        <f ca="1">IFERROR(__xludf.DUMMYFUNCTION("""COMPUTED_VALUE"""),1)</f>
        <v>1</v>
      </c>
      <c r="C48" s="23"/>
      <c r="D48" s="23" t="str">
        <f ca="1">IFERROR(__xludf.DUMMYFUNCTION("""COMPUTED_VALUE"""),"ASCENDENTE")</f>
        <v>ASCENDENTE</v>
      </c>
      <c r="E48" s="23" t="str">
        <f ca="1">IFERROR(__xludf.DUMMYFUNCTION("""COMPUTED_VALUE"""),"BITACORA OPERATIVA")</f>
        <v>BITACORA OPERATIVA</v>
      </c>
      <c r="F48" s="23">
        <f ca="1">IFERROR(__xludf.DUMMYFUNCTION("""COMPUTED_VALUE"""),0)</f>
        <v>0</v>
      </c>
      <c r="G48" s="23">
        <f ca="1">IFERROR(__xludf.DUMMYFUNCTION("""COMPUTED_VALUE"""),0)</f>
        <v>0</v>
      </c>
      <c r="H48" s="23">
        <f ca="1">IFERROR(__xludf.DUMMYFUNCTION("""COMPUTED_VALUE"""),0)</f>
        <v>0</v>
      </c>
      <c r="I48" s="23">
        <f ca="1">IFERROR(__xludf.DUMMYFUNCTION("""COMPUTED_VALUE"""),0)</f>
        <v>0</v>
      </c>
      <c r="J48" s="23">
        <f ca="1">IFERROR(__xludf.DUMMYFUNCTION("""COMPUTED_VALUE"""),0)</f>
        <v>0</v>
      </c>
      <c r="K48" s="23">
        <f ca="1">IFERROR(__xludf.DUMMYFUNCTION("""COMPUTED_VALUE"""),0)</f>
        <v>0</v>
      </c>
      <c r="L48" s="23">
        <f ca="1">IFERROR(__xludf.DUMMYFUNCTION("""COMPUTED_VALUE"""),0)</f>
        <v>0</v>
      </c>
      <c r="M48" s="23">
        <f ca="1">IFERROR(__xludf.DUMMYFUNCTION("""COMPUTED_VALUE"""),0)</f>
        <v>0</v>
      </c>
      <c r="N48" s="23">
        <f ca="1">IFERROR(__xludf.DUMMYFUNCTION("""COMPUTED_VALUE"""),0)</f>
        <v>0</v>
      </c>
      <c r="O48" s="23">
        <f ca="1">IFERROR(__xludf.DUMMYFUNCTION("""COMPUTED_VALUE"""),0)</f>
        <v>0</v>
      </c>
      <c r="P48" s="23">
        <f ca="1">IFERROR(__xludf.DUMMYFUNCTION("""COMPUTED_VALUE"""),0)</f>
        <v>0</v>
      </c>
      <c r="Q48" s="23">
        <f ca="1">IFERROR(__xludf.DUMMYFUNCTION("""COMPUTED_VALUE"""),0)</f>
        <v>0</v>
      </c>
      <c r="R48" s="23">
        <f ca="1">IFERROR(__xludf.DUMMYFUNCTION("""COMPUTED_VALUE"""),0)</f>
        <v>0</v>
      </c>
      <c r="S48" s="23">
        <f ca="1">IFERROR(__xludf.DUMMYFUNCTION("""COMPUTED_VALUE"""),0)</f>
        <v>0</v>
      </c>
    </row>
    <row r="49" spans="1:19">
      <c r="A49" s="23" t="str">
        <f ca="1">IFERROR(__xludf.DUMMYFUNCTION("""COMPUTED_VALUE"""),"ACTIVIDADES EXTRAS (MANTENIMIENTO ELÉCTRICO DE EDIFICIOS PÚBLICOS, APOYO A EVENTOS)")</f>
        <v>ACTIVIDADES EXTRAS (MANTENIMIENTO ELÉCTRICO DE EDIFICIOS PÚBLICOS, APOYO A EVENTOS)</v>
      </c>
      <c r="B49" s="23">
        <f ca="1">IFERROR(__xludf.DUMMYFUNCTION("""COMPUTED_VALUE"""),1)</f>
        <v>1</v>
      </c>
      <c r="C49" s="23"/>
      <c r="D49" s="23" t="str">
        <f ca="1">IFERROR(__xludf.DUMMYFUNCTION("""COMPUTED_VALUE"""),"ASCENDENTE")</f>
        <v>ASCENDENTE</v>
      </c>
      <c r="E49" s="23" t="str">
        <f ca="1">IFERROR(__xludf.DUMMYFUNCTION("""COMPUTED_VALUE"""),"BITACORA OPERATIVA")</f>
        <v>BITACORA OPERATIVA</v>
      </c>
      <c r="F49" s="23">
        <f ca="1">IFERROR(__xludf.DUMMYFUNCTION("""COMPUTED_VALUE"""),0)</f>
        <v>0</v>
      </c>
      <c r="G49" s="23">
        <f ca="1">IFERROR(__xludf.DUMMYFUNCTION("""COMPUTED_VALUE"""),0)</f>
        <v>0</v>
      </c>
      <c r="H49" s="23">
        <f ca="1">IFERROR(__xludf.DUMMYFUNCTION("""COMPUTED_VALUE"""),0)</f>
        <v>0</v>
      </c>
      <c r="I49" s="23">
        <f ca="1">IFERROR(__xludf.DUMMYFUNCTION("""COMPUTED_VALUE"""),0)</f>
        <v>0</v>
      </c>
      <c r="J49" s="23">
        <f ca="1">IFERROR(__xludf.DUMMYFUNCTION("""COMPUTED_VALUE"""),0)</f>
        <v>0</v>
      </c>
      <c r="K49" s="23">
        <f ca="1">IFERROR(__xludf.DUMMYFUNCTION("""COMPUTED_VALUE"""),15)</f>
        <v>15</v>
      </c>
      <c r="L49" s="23">
        <f ca="1">IFERROR(__xludf.DUMMYFUNCTION("""COMPUTED_VALUE"""),7)</f>
        <v>7</v>
      </c>
      <c r="M49" s="23">
        <f ca="1">IFERROR(__xludf.DUMMYFUNCTION("""COMPUTED_VALUE"""),0)</f>
        <v>0</v>
      </c>
      <c r="N49" s="23">
        <f ca="1">IFERROR(__xludf.DUMMYFUNCTION("""COMPUTED_VALUE"""),0)</f>
        <v>0</v>
      </c>
      <c r="O49" s="23">
        <f ca="1">IFERROR(__xludf.DUMMYFUNCTION("""COMPUTED_VALUE"""),0)</f>
        <v>0</v>
      </c>
      <c r="P49" s="23">
        <f ca="1">IFERROR(__xludf.DUMMYFUNCTION("""COMPUTED_VALUE"""),0)</f>
        <v>0</v>
      </c>
      <c r="Q49" s="23">
        <f ca="1">IFERROR(__xludf.DUMMYFUNCTION("""COMPUTED_VALUE"""),0)</f>
        <v>0</v>
      </c>
      <c r="R49" s="23">
        <f ca="1">IFERROR(__xludf.DUMMYFUNCTION("""COMPUTED_VALUE"""),0)</f>
        <v>0</v>
      </c>
      <c r="S49" s="23">
        <f ca="1">IFERROR(__xludf.DUMMYFUNCTION("""COMPUTED_VALUE"""),22)</f>
        <v>22</v>
      </c>
    </row>
    <row r="50" spans="1:19">
      <c r="A50" s="23" t="str">
        <f ca="1">IFERROR(__xludf.DUMMYFUNCTION("""COMPUTED_VALUE"""),"PADRON DE LUMINARIA NO FUNCIONAL(REPORTE CIUDADANO)")</f>
        <v>PADRON DE LUMINARIA NO FUNCIONAL(REPORTE CIUDADANO)</v>
      </c>
      <c r="B50" s="23">
        <f ca="1">IFERROR(__xludf.DUMMYFUNCTION("""COMPUTED_VALUE"""),1)</f>
        <v>1</v>
      </c>
      <c r="C50" s="23"/>
      <c r="D50" s="23" t="str">
        <f ca="1">IFERROR(__xludf.DUMMYFUNCTION("""COMPUTED_VALUE"""),"ASCENDENTE")</f>
        <v>ASCENDENTE</v>
      </c>
      <c r="E50" s="23" t="str">
        <f ca="1">IFERROR(__xludf.DUMMYFUNCTION("""COMPUTED_VALUE"""),"BITACORA OPERATIVA")</f>
        <v>BITACORA OPERATIVA</v>
      </c>
      <c r="F50" s="23">
        <f ca="1">IFERROR(__xludf.DUMMYFUNCTION("""COMPUTED_VALUE"""),0)</f>
        <v>0</v>
      </c>
      <c r="G50" s="23">
        <f ca="1">IFERROR(__xludf.DUMMYFUNCTION("""COMPUTED_VALUE"""),0)</f>
        <v>0</v>
      </c>
      <c r="H50" s="23">
        <f ca="1">IFERROR(__xludf.DUMMYFUNCTION("""COMPUTED_VALUE"""),0)</f>
        <v>0</v>
      </c>
      <c r="I50" s="23">
        <f ca="1">IFERROR(__xludf.DUMMYFUNCTION("""COMPUTED_VALUE"""),0)</f>
        <v>0</v>
      </c>
      <c r="J50" s="23">
        <f ca="1">IFERROR(__xludf.DUMMYFUNCTION("""COMPUTED_VALUE"""),0)</f>
        <v>0</v>
      </c>
      <c r="K50" s="23">
        <f ca="1">IFERROR(__xludf.DUMMYFUNCTION("""COMPUTED_VALUE"""),0)</f>
        <v>0</v>
      </c>
      <c r="L50" s="23">
        <f ca="1">IFERROR(__xludf.DUMMYFUNCTION("""COMPUTED_VALUE"""),0)</f>
        <v>0</v>
      </c>
      <c r="M50" s="23">
        <f ca="1">IFERROR(__xludf.DUMMYFUNCTION("""COMPUTED_VALUE"""),0)</f>
        <v>0</v>
      </c>
      <c r="N50" s="23">
        <f ca="1">IFERROR(__xludf.DUMMYFUNCTION("""COMPUTED_VALUE"""),0)</f>
        <v>0</v>
      </c>
      <c r="O50" s="23">
        <f ca="1">IFERROR(__xludf.DUMMYFUNCTION("""COMPUTED_VALUE"""),0)</f>
        <v>0</v>
      </c>
      <c r="P50" s="23">
        <f ca="1">IFERROR(__xludf.DUMMYFUNCTION("""COMPUTED_VALUE"""),0)</f>
        <v>0</v>
      </c>
      <c r="Q50" s="23">
        <f ca="1">IFERROR(__xludf.DUMMYFUNCTION("""COMPUTED_VALUE"""),0)</f>
        <v>0</v>
      </c>
      <c r="R50" s="23">
        <f ca="1">IFERROR(__xludf.DUMMYFUNCTION("""COMPUTED_VALUE"""),0)</f>
        <v>0</v>
      </c>
      <c r="S50" s="23">
        <f ca="1">IFERROR(__xludf.DUMMYFUNCTION("""COMPUTED_VALUE"""),0)</f>
        <v>0</v>
      </c>
    </row>
    <row r="51" spans="1:19">
      <c r="A51" s="23" t="str">
        <f ca="1">IFERROR(__xludf.DUMMYFUNCTION("""COMPUTED_VALUE"""),"VIGILANCIA EN VERTEDERO MUNICIPAL (TONELADAS VERTIDAS POR MES)")</f>
        <v>VIGILANCIA EN VERTEDERO MUNICIPAL (TONELADAS VERTIDAS POR MES)</v>
      </c>
      <c r="B51" s="23">
        <f ca="1">IFERROR(__xludf.DUMMYFUNCTION("""COMPUTED_VALUE"""),1)</f>
        <v>1</v>
      </c>
      <c r="C51" s="23"/>
      <c r="D51" s="23" t="str">
        <f ca="1">IFERROR(__xludf.DUMMYFUNCTION("""COMPUTED_VALUE"""),"ASCENDENTE")</f>
        <v>ASCENDENTE</v>
      </c>
      <c r="E51" s="23" t="str">
        <f ca="1">IFERROR(__xludf.DUMMYFUNCTION("""COMPUTED_VALUE"""),"BITACORA OPERATIVA")</f>
        <v>BITACORA OPERATIVA</v>
      </c>
      <c r="F51" s="23">
        <f ca="1">IFERROR(__xludf.DUMMYFUNCTION("""COMPUTED_VALUE"""),0)</f>
        <v>0</v>
      </c>
      <c r="G51" s="23">
        <f ca="1">IFERROR(__xludf.DUMMYFUNCTION("""COMPUTED_VALUE"""),0)</f>
        <v>0</v>
      </c>
      <c r="H51" s="23">
        <f ca="1">IFERROR(__xludf.DUMMYFUNCTION("""COMPUTED_VALUE"""),0)</f>
        <v>0</v>
      </c>
      <c r="I51" s="23">
        <f ca="1">IFERROR(__xludf.DUMMYFUNCTION("""COMPUTED_VALUE"""),0)</f>
        <v>0</v>
      </c>
      <c r="J51" s="23">
        <f ca="1">IFERROR(__xludf.DUMMYFUNCTION("""COMPUTED_VALUE"""),0)</f>
        <v>0</v>
      </c>
      <c r="K51" s="23">
        <f ca="1">IFERROR(__xludf.DUMMYFUNCTION("""COMPUTED_VALUE"""),0)</f>
        <v>0</v>
      </c>
      <c r="L51" s="23">
        <f ca="1">IFERROR(__xludf.DUMMYFUNCTION("""COMPUTED_VALUE"""),0)</f>
        <v>0</v>
      </c>
      <c r="M51" s="23">
        <f ca="1">IFERROR(__xludf.DUMMYFUNCTION("""COMPUTED_VALUE"""),0)</f>
        <v>0</v>
      </c>
      <c r="N51" s="23">
        <f ca="1">IFERROR(__xludf.DUMMYFUNCTION("""COMPUTED_VALUE"""),0)</f>
        <v>0</v>
      </c>
      <c r="O51" s="23">
        <f ca="1">IFERROR(__xludf.DUMMYFUNCTION("""COMPUTED_VALUE"""),0)</f>
        <v>0</v>
      </c>
      <c r="P51" s="23">
        <f ca="1">IFERROR(__xludf.DUMMYFUNCTION("""COMPUTED_VALUE"""),0)</f>
        <v>0</v>
      </c>
      <c r="Q51" s="23">
        <f ca="1">IFERROR(__xludf.DUMMYFUNCTION("""COMPUTED_VALUE"""),0)</f>
        <v>0</v>
      </c>
      <c r="R51" s="23">
        <f ca="1">IFERROR(__xludf.DUMMYFUNCTION("""COMPUTED_VALUE"""),0)</f>
        <v>0</v>
      </c>
      <c r="S51" s="23">
        <f ca="1">IFERROR(__xludf.DUMMYFUNCTION("""COMPUTED_VALUE"""),0)</f>
        <v>0</v>
      </c>
    </row>
    <row r="52" spans="1:19">
      <c r="A52" s="23" t="str">
        <f ca="1">IFERROR(__xludf.DUMMYFUNCTION("""COMPUTED_VALUE"""),"NÚMERO DE CALLES ASEADAS")</f>
        <v>NÚMERO DE CALLES ASEADAS</v>
      </c>
      <c r="B52" s="23">
        <f ca="1">IFERROR(__xludf.DUMMYFUNCTION("""COMPUTED_VALUE"""),1)</f>
        <v>1</v>
      </c>
      <c r="C52" s="23"/>
      <c r="D52" s="23" t="str">
        <f ca="1">IFERROR(__xludf.DUMMYFUNCTION("""COMPUTED_VALUE"""),"ASCENDENTE")</f>
        <v>ASCENDENTE</v>
      </c>
      <c r="E52" s="23" t="str">
        <f ca="1">IFERROR(__xludf.DUMMYFUNCTION("""COMPUTED_VALUE"""),"BITACORA OPERATIVA")</f>
        <v>BITACORA OPERATIVA</v>
      </c>
      <c r="F52" s="23">
        <f ca="1">IFERROR(__xludf.DUMMYFUNCTION("""COMPUTED_VALUE"""),0)</f>
        <v>0</v>
      </c>
      <c r="G52" s="23">
        <f ca="1">IFERROR(__xludf.DUMMYFUNCTION("""COMPUTED_VALUE"""),0)</f>
        <v>0</v>
      </c>
      <c r="H52" s="23">
        <f ca="1">IFERROR(__xludf.DUMMYFUNCTION("""COMPUTED_VALUE"""),0)</f>
        <v>0</v>
      </c>
      <c r="I52" s="23">
        <f ca="1">IFERROR(__xludf.DUMMYFUNCTION("""COMPUTED_VALUE"""),0)</f>
        <v>0</v>
      </c>
      <c r="J52" s="23">
        <f ca="1">IFERROR(__xludf.DUMMYFUNCTION("""COMPUTED_VALUE"""),147284)</f>
        <v>147284</v>
      </c>
      <c r="K52" s="23">
        <f ca="1">IFERROR(__xludf.DUMMYFUNCTION("""COMPUTED_VALUE"""),146275)</f>
        <v>146275</v>
      </c>
      <c r="L52" s="23">
        <f ca="1">IFERROR(__xludf.DUMMYFUNCTION("""COMPUTED_VALUE"""),148206)</f>
        <v>148206</v>
      </c>
      <c r="M52" s="23">
        <f ca="1">IFERROR(__xludf.DUMMYFUNCTION("""COMPUTED_VALUE"""),0)</f>
        <v>0</v>
      </c>
      <c r="N52" s="23">
        <f ca="1">IFERROR(__xludf.DUMMYFUNCTION("""COMPUTED_VALUE"""),0)</f>
        <v>0</v>
      </c>
      <c r="O52" s="23">
        <f ca="1">IFERROR(__xludf.DUMMYFUNCTION("""COMPUTED_VALUE"""),0)</f>
        <v>0</v>
      </c>
      <c r="P52" s="23">
        <f ca="1">IFERROR(__xludf.DUMMYFUNCTION("""COMPUTED_VALUE"""),0)</f>
        <v>0</v>
      </c>
      <c r="Q52" s="23">
        <f ca="1">IFERROR(__xludf.DUMMYFUNCTION("""COMPUTED_VALUE"""),0)</f>
        <v>0</v>
      </c>
      <c r="R52" s="23">
        <f ca="1">IFERROR(__xludf.DUMMYFUNCTION("""COMPUTED_VALUE"""),0)</f>
        <v>0</v>
      </c>
      <c r="S52" s="23">
        <f ca="1">IFERROR(__xludf.DUMMYFUNCTION("""COMPUTED_VALUE"""),441765)</f>
        <v>441765</v>
      </c>
    </row>
    <row r="53" spans="1:19">
      <c r="A53" s="23" t="str">
        <f ca="1">IFERROR(__xludf.DUMMYFUNCTION("""COMPUTED_VALUE"""),"TONELADAS RECOLECTADAS")</f>
        <v>TONELADAS RECOLECTADAS</v>
      </c>
      <c r="B53" s="23">
        <f ca="1">IFERROR(__xludf.DUMMYFUNCTION("""COMPUTED_VALUE"""),1)</f>
        <v>1</v>
      </c>
      <c r="C53" s="23"/>
      <c r="D53" s="23" t="str">
        <f ca="1">IFERROR(__xludf.DUMMYFUNCTION("""COMPUTED_VALUE"""),"ASCENDENTE")</f>
        <v>ASCENDENTE</v>
      </c>
      <c r="E53" s="23" t="str">
        <f ca="1">IFERROR(__xludf.DUMMYFUNCTION("""COMPUTED_VALUE"""),"BITACORA OPERATIVA")</f>
        <v>BITACORA OPERATIVA</v>
      </c>
      <c r="F53" s="23">
        <f ca="1">IFERROR(__xludf.DUMMYFUNCTION("""COMPUTED_VALUE"""),0)</f>
        <v>0</v>
      </c>
      <c r="G53" s="23">
        <f ca="1">IFERROR(__xludf.DUMMYFUNCTION("""COMPUTED_VALUE"""),0)</f>
        <v>0</v>
      </c>
      <c r="H53" s="23">
        <f ca="1">IFERROR(__xludf.DUMMYFUNCTION("""COMPUTED_VALUE"""),0)</f>
        <v>0</v>
      </c>
      <c r="I53" s="23">
        <f ca="1">IFERROR(__xludf.DUMMYFUNCTION("""COMPUTED_VALUE"""),0)</f>
        <v>0</v>
      </c>
      <c r="J53" s="23">
        <f ca="1">IFERROR(__xludf.DUMMYFUNCTION("""COMPUTED_VALUE"""),21)</f>
        <v>21</v>
      </c>
      <c r="K53" s="23">
        <f ca="1">IFERROR(__xludf.DUMMYFUNCTION("""COMPUTED_VALUE"""),21)</f>
        <v>21</v>
      </c>
      <c r="L53" s="23">
        <f ca="1">IFERROR(__xludf.DUMMYFUNCTION("""COMPUTED_VALUE"""),21)</f>
        <v>21</v>
      </c>
      <c r="M53" s="23">
        <f ca="1">IFERROR(__xludf.DUMMYFUNCTION("""COMPUTED_VALUE"""),0)</f>
        <v>0</v>
      </c>
      <c r="N53" s="23">
        <f ca="1">IFERROR(__xludf.DUMMYFUNCTION("""COMPUTED_VALUE"""),0)</f>
        <v>0</v>
      </c>
      <c r="O53" s="23">
        <f ca="1">IFERROR(__xludf.DUMMYFUNCTION("""COMPUTED_VALUE"""),0)</f>
        <v>0</v>
      </c>
      <c r="P53" s="23">
        <f ca="1">IFERROR(__xludf.DUMMYFUNCTION("""COMPUTED_VALUE"""),0)</f>
        <v>0</v>
      </c>
      <c r="Q53" s="23">
        <f ca="1">IFERROR(__xludf.DUMMYFUNCTION("""COMPUTED_VALUE"""),0)</f>
        <v>0</v>
      </c>
      <c r="R53" s="23">
        <f ca="1">IFERROR(__xludf.DUMMYFUNCTION("""COMPUTED_VALUE"""),0)</f>
        <v>0</v>
      </c>
      <c r="S53" s="23">
        <f ca="1">IFERROR(__xludf.DUMMYFUNCTION("""COMPUTED_VALUE"""),63)</f>
        <v>63</v>
      </c>
    </row>
    <row r="54" spans="1:19">
      <c r="A54" s="23" t="str">
        <f ca="1">IFERROR(__xludf.DUMMYFUNCTION("""COMPUTED_VALUE"""),"REPARACIÓN DE SUSPENSIONES")</f>
        <v>REPARACIÓN DE SUSPENSIONES</v>
      </c>
      <c r="B54" s="23">
        <f ca="1">IFERROR(__xludf.DUMMYFUNCTION("""COMPUTED_VALUE"""),1)</f>
        <v>1</v>
      </c>
      <c r="C54" s="23"/>
      <c r="D54" s="23" t="str">
        <f ca="1">IFERROR(__xludf.DUMMYFUNCTION("""COMPUTED_VALUE"""),"ASCENDENTE")</f>
        <v>ASCENDENTE</v>
      </c>
      <c r="E54" s="23" t="str">
        <f ca="1">IFERROR(__xludf.DUMMYFUNCTION("""COMPUTED_VALUE"""),"BITACORA OPERATIVA")</f>
        <v>BITACORA OPERATIVA</v>
      </c>
      <c r="F54" s="23">
        <f ca="1">IFERROR(__xludf.DUMMYFUNCTION("""COMPUTED_VALUE"""),0)</f>
        <v>0</v>
      </c>
      <c r="G54" s="23">
        <f ca="1">IFERROR(__xludf.DUMMYFUNCTION("""COMPUTED_VALUE"""),0)</f>
        <v>0</v>
      </c>
      <c r="H54" s="23">
        <f ca="1">IFERROR(__xludf.DUMMYFUNCTION("""COMPUTED_VALUE"""),0)</f>
        <v>0</v>
      </c>
      <c r="I54" s="23">
        <f ca="1">IFERROR(__xludf.DUMMYFUNCTION("""COMPUTED_VALUE"""),0)</f>
        <v>0</v>
      </c>
      <c r="J54" s="23">
        <f ca="1">IFERROR(__xludf.DUMMYFUNCTION("""COMPUTED_VALUE"""),147284)</f>
        <v>147284</v>
      </c>
      <c r="K54" s="23">
        <f ca="1">IFERROR(__xludf.DUMMYFUNCTION("""COMPUTED_VALUE"""),146275)</f>
        <v>146275</v>
      </c>
      <c r="L54" s="23">
        <f ca="1">IFERROR(__xludf.DUMMYFUNCTION("""COMPUTED_VALUE"""),148206)</f>
        <v>148206</v>
      </c>
      <c r="M54" s="23">
        <f ca="1">IFERROR(__xludf.DUMMYFUNCTION("""COMPUTED_VALUE"""),0)</f>
        <v>0</v>
      </c>
      <c r="N54" s="23">
        <f ca="1">IFERROR(__xludf.DUMMYFUNCTION("""COMPUTED_VALUE"""),0)</f>
        <v>0</v>
      </c>
      <c r="O54" s="23">
        <f ca="1">IFERROR(__xludf.DUMMYFUNCTION("""COMPUTED_VALUE"""),0)</f>
        <v>0</v>
      </c>
      <c r="P54" s="23">
        <f ca="1">IFERROR(__xludf.DUMMYFUNCTION("""COMPUTED_VALUE"""),0)</f>
        <v>0</v>
      </c>
      <c r="Q54" s="23">
        <f ca="1">IFERROR(__xludf.DUMMYFUNCTION("""COMPUTED_VALUE"""),0)</f>
        <v>0</v>
      </c>
      <c r="R54" s="23">
        <f ca="1">IFERROR(__xludf.DUMMYFUNCTION("""COMPUTED_VALUE"""),0)</f>
        <v>0</v>
      </c>
      <c r="S54" s="23">
        <f ca="1">IFERROR(__xludf.DUMMYFUNCTION("""COMPUTED_VALUE"""),441765)</f>
        <v>441765</v>
      </c>
    </row>
    <row r="55" spans="1:19">
      <c r="A55" s="23" t="str">
        <f ca="1">IFERROR(__xludf.DUMMYFUNCTION("""COMPUTED_VALUE"""),"REPARACIONES VARIAS")</f>
        <v>REPARACIONES VARIAS</v>
      </c>
      <c r="B55" s="23">
        <f ca="1">IFERROR(__xludf.DUMMYFUNCTION("""COMPUTED_VALUE"""),1)</f>
        <v>1</v>
      </c>
      <c r="C55" s="23"/>
      <c r="D55" s="23" t="str">
        <f ca="1">IFERROR(__xludf.DUMMYFUNCTION("""COMPUTED_VALUE"""),"ASCENDENTE")</f>
        <v>ASCENDENTE</v>
      </c>
      <c r="E55" s="23" t="str">
        <f ca="1">IFERROR(__xludf.DUMMYFUNCTION("""COMPUTED_VALUE"""),"BITACORA OPERATIVA")</f>
        <v>BITACORA OPERATIVA</v>
      </c>
      <c r="F55" s="23">
        <f ca="1">IFERROR(__xludf.DUMMYFUNCTION("""COMPUTED_VALUE"""),0)</f>
        <v>0</v>
      </c>
      <c r="G55" s="23">
        <f ca="1">IFERROR(__xludf.DUMMYFUNCTION("""COMPUTED_VALUE"""),0)</f>
        <v>0</v>
      </c>
      <c r="H55" s="23">
        <f ca="1">IFERROR(__xludf.DUMMYFUNCTION("""COMPUTED_VALUE"""),0)</f>
        <v>0</v>
      </c>
      <c r="I55" s="23">
        <f ca="1">IFERROR(__xludf.DUMMYFUNCTION("""COMPUTED_VALUE"""),0)</f>
        <v>0</v>
      </c>
      <c r="J55" s="23">
        <f ca="1">IFERROR(__xludf.DUMMYFUNCTION("""COMPUTED_VALUE"""),8)</f>
        <v>8</v>
      </c>
      <c r="K55" s="23">
        <f ca="1">IFERROR(__xludf.DUMMYFUNCTION("""COMPUTED_VALUE"""),6)</f>
        <v>6</v>
      </c>
      <c r="L55" s="23">
        <f ca="1">IFERROR(__xludf.DUMMYFUNCTION("""COMPUTED_VALUE"""),8)</f>
        <v>8</v>
      </c>
      <c r="M55" s="23">
        <f ca="1">IFERROR(__xludf.DUMMYFUNCTION("""COMPUTED_VALUE"""),0)</f>
        <v>0</v>
      </c>
      <c r="N55" s="23">
        <f ca="1">IFERROR(__xludf.DUMMYFUNCTION("""COMPUTED_VALUE"""),0)</f>
        <v>0</v>
      </c>
      <c r="O55" s="23">
        <f ca="1">IFERROR(__xludf.DUMMYFUNCTION("""COMPUTED_VALUE"""),0)</f>
        <v>0</v>
      </c>
      <c r="P55" s="23">
        <f ca="1">IFERROR(__xludf.DUMMYFUNCTION("""COMPUTED_VALUE"""),0)</f>
        <v>0</v>
      </c>
      <c r="Q55" s="23">
        <f ca="1">IFERROR(__xludf.DUMMYFUNCTION("""COMPUTED_VALUE"""),0)</f>
        <v>0</v>
      </c>
      <c r="R55" s="23">
        <f ca="1">IFERROR(__xludf.DUMMYFUNCTION("""COMPUTED_VALUE"""),0)</f>
        <v>0</v>
      </c>
      <c r="S55" s="23">
        <f ca="1">IFERROR(__xludf.DUMMYFUNCTION("""COMPUTED_VALUE"""),22)</f>
        <v>22</v>
      </c>
    </row>
    <row r="56" spans="1:19">
      <c r="A56" s="23" t="str">
        <f ca="1">IFERROR(__xludf.DUMMYFUNCTION("""COMPUTED_VALUE"""),"REVISIÓN DE NIVELES (DIARIO)")</f>
        <v>REVISIÓN DE NIVELES (DIARIO)</v>
      </c>
      <c r="B56" s="23">
        <f ca="1">IFERROR(__xludf.DUMMYFUNCTION("""COMPUTED_VALUE"""),1)</f>
        <v>1</v>
      </c>
      <c r="C56" s="23"/>
      <c r="D56" s="23" t="str">
        <f ca="1">IFERROR(__xludf.DUMMYFUNCTION("""COMPUTED_VALUE"""),"ASCENDENTE")</f>
        <v>ASCENDENTE</v>
      </c>
      <c r="E56" s="23" t="str">
        <f ca="1">IFERROR(__xludf.DUMMYFUNCTION("""COMPUTED_VALUE"""),"BITACORA OPERATIVA")</f>
        <v>BITACORA OPERATIVA</v>
      </c>
      <c r="F56" s="23">
        <f ca="1">IFERROR(__xludf.DUMMYFUNCTION("""COMPUTED_VALUE"""),0)</f>
        <v>0</v>
      </c>
      <c r="G56" s="23">
        <f ca="1">IFERROR(__xludf.DUMMYFUNCTION("""COMPUTED_VALUE"""),0)</f>
        <v>0</v>
      </c>
      <c r="H56" s="23">
        <f ca="1">IFERROR(__xludf.DUMMYFUNCTION("""COMPUTED_VALUE"""),0)</f>
        <v>0</v>
      </c>
      <c r="I56" s="23">
        <f ca="1">IFERROR(__xludf.DUMMYFUNCTION("""COMPUTED_VALUE"""),0)</f>
        <v>0</v>
      </c>
      <c r="J56" s="23">
        <f ca="1">IFERROR(__xludf.DUMMYFUNCTION("""COMPUTED_VALUE"""),14)</f>
        <v>14</v>
      </c>
      <c r="K56" s="23">
        <f ca="1">IFERROR(__xludf.DUMMYFUNCTION("""COMPUTED_VALUE"""),15)</f>
        <v>15</v>
      </c>
      <c r="L56" s="23">
        <f ca="1">IFERROR(__xludf.DUMMYFUNCTION("""COMPUTED_VALUE"""),13)</f>
        <v>13</v>
      </c>
      <c r="M56" s="23">
        <f ca="1">IFERROR(__xludf.DUMMYFUNCTION("""COMPUTED_VALUE"""),0)</f>
        <v>0</v>
      </c>
      <c r="N56" s="23">
        <f ca="1">IFERROR(__xludf.DUMMYFUNCTION("""COMPUTED_VALUE"""),0)</f>
        <v>0</v>
      </c>
      <c r="O56" s="23">
        <f ca="1">IFERROR(__xludf.DUMMYFUNCTION("""COMPUTED_VALUE"""),0)</f>
        <v>0</v>
      </c>
      <c r="P56" s="23">
        <f ca="1">IFERROR(__xludf.DUMMYFUNCTION("""COMPUTED_VALUE"""),0)</f>
        <v>0</v>
      </c>
      <c r="Q56" s="23">
        <f ca="1">IFERROR(__xludf.DUMMYFUNCTION("""COMPUTED_VALUE"""),0)</f>
        <v>0</v>
      </c>
      <c r="R56" s="23">
        <f ca="1">IFERROR(__xludf.DUMMYFUNCTION("""COMPUTED_VALUE"""),0)</f>
        <v>0</v>
      </c>
      <c r="S56" s="23">
        <f ca="1">IFERROR(__xludf.DUMMYFUNCTION("""COMPUTED_VALUE"""),42)</f>
        <v>42</v>
      </c>
    </row>
    <row r="57" spans="1:19">
      <c r="A57" s="23" t="str">
        <f ca="1">IFERROR(__xludf.DUMMYFUNCTION("""COMPUTED_VALUE"""),"REPARACIONES ELÉCTRICAS")</f>
        <v>REPARACIONES ELÉCTRICAS</v>
      </c>
      <c r="B57" s="23">
        <f ca="1">IFERROR(__xludf.DUMMYFUNCTION("""COMPUTED_VALUE"""),1)</f>
        <v>1</v>
      </c>
      <c r="C57" s="23"/>
      <c r="D57" s="23" t="str">
        <f ca="1">IFERROR(__xludf.DUMMYFUNCTION("""COMPUTED_VALUE"""),"ASCENDENTE")</f>
        <v>ASCENDENTE</v>
      </c>
      <c r="E57" s="23" t="str">
        <f ca="1">IFERROR(__xludf.DUMMYFUNCTION("""COMPUTED_VALUE"""),"BITACORA OPERATIVA")</f>
        <v>BITACORA OPERATIVA</v>
      </c>
      <c r="F57" s="23">
        <f ca="1">IFERROR(__xludf.DUMMYFUNCTION("""COMPUTED_VALUE"""),0)</f>
        <v>0</v>
      </c>
      <c r="G57" s="23">
        <f ca="1">IFERROR(__xludf.DUMMYFUNCTION("""COMPUTED_VALUE"""),0)</f>
        <v>0</v>
      </c>
      <c r="H57" s="23">
        <f ca="1">IFERROR(__xludf.DUMMYFUNCTION("""COMPUTED_VALUE"""),0)</f>
        <v>0</v>
      </c>
      <c r="I57" s="23">
        <f ca="1">IFERROR(__xludf.DUMMYFUNCTION("""COMPUTED_VALUE"""),0)</f>
        <v>0</v>
      </c>
      <c r="J57" s="23">
        <f ca="1">IFERROR(__xludf.DUMMYFUNCTION("""COMPUTED_VALUE"""),20)</f>
        <v>20</v>
      </c>
      <c r="K57" s="23">
        <f ca="1">IFERROR(__xludf.DUMMYFUNCTION("""COMPUTED_VALUE"""),18)</f>
        <v>18</v>
      </c>
      <c r="L57" s="23">
        <f ca="1">IFERROR(__xludf.DUMMYFUNCTION("""COMPUTED_VALUE"""),25)</f>
        <v>25</v>
      </c>
      <c r="M57" s="23">
        <f ca="1">IFERROR(__xludf.DUMMYFUNCTION("""COMPUTED_VALUE"""),0)</f>
        <v>0</v>
      </c>
      <c r="N57" s="23">
        <f ca="1">IFERROR(__xludf.DUMMYFUNCTION("""COMPUTED_VALUE"""),0)</f>
        <v>0</v>
      </c>
      <c r="O57" s="23">
        <f ca="1">IFERROR(__xludf.DUMMYFUNCTION("""COMPUTED_VALUE"""),0)</f>
        <v>0</v>
      </c>
      <c r="P57" s="23">
        <f ca="1">IFERROR(__xludf.DUMMYFUNCTION("""COMPUTED_VALUE"""),0)</f>
        <v>0</v>
      </c>
      <c r="Q57" s="23">
        <f ca="1">IFERROR(__xludf.DUMMYFUNCTION("""COMPUTED_VALUE"""),0)</f>
        <v>0</v>
      </c>
      <c r="R57" s="23">
        <f ca="1">IFERROR(__xludf.DUMMYFUNCTION("""COMPUTED_VALUE"""),0)</f>
        <v>0</v>
      </c>
      <c r="S57" s="23">
        <f ca="1">IFERROR(__xludf.DUMMYFUNCTION("""COMPUTED_VALUE"""),63)</f>
        <v>63</v>
      </c>
    </row>
    <row r="58" spans="1:19">
      <c r="A58" s="23" t="str">
        <f ca="1">IFERROR(__xludf.DUMMYFUNCTION("""COMPUTED_VALUE""")," REPARACION DE VEHICULOS EN TALLER MUNICIPAL")</f>
        <v xml:space="preserve"> REPARACION DE VEHICULOS EN TALLER MUNICIPAL</v>
      </c>
      <c r="B58" s="23">
        <f ca="1">IFERROR(__xludf.DUMMYFUNCTION("""COMPUTED_VALUE"""),1)</f>
        <v>1</v>
      </c>
      <c r="C58" s="23"/>
      <c r="D58" s="23" t="str">
        <f ca="1">IFERROR(__xludf.DUMMYFUNCTION("""COMPUTED_VALUE"""),"ASCENDENTE")</f>
        <v>ASCENDENTE</v>
      </c>
      <c r="E58" s="23" t="str">
        <f ca="1">IFERROR(__xludf.DUMMYFUNCTION("""COMPUTED_VALUE"""),"BITACORA OPERATIVA")</f>
        <v>BITACORA OPERATIVA</v>
      </c>
      <c r="F58" s="23">
        <f ca="1">IFERROR(__xludf.DUMMYFUNCTION("""COMPUTED_VALUE"""),0)</f>
        <v>0</v>
      </c>
      <c r="G58" s="23">
        <f ca="1">IFERROR(__xludf.DUMMYFUNCTION("""COMPUTED_VALUE"""),0)</f>
        <v>0</v>
      </c>
      <c r="H58" s="23">
        <f ca="1">IFERROR(__xludf.DUMMYFUNCTION("""COMPUTED_VALUE"""),0)</f>
        <v>0</v>
      </c>
      <c r="I58" s="23">
        <f ca="1">IFERROR(__xludf.DUMMYFUNCTION("""COMPUTED_VALUE"""),0)</f>
        <v>0</v>
      </c>
      <c r="J58" s="23">
        <f ca="1">IFERROR(__xludf.DUMMYFUNCTION("""COMPUTED_VALUE"""),23)</f>
        <v>23</v>
      </c>
      <c r="K58" s="23">
        <f ca="1">IFERROR(__xludf.DUMMYFUNCTION("""COMPUTED_VALUE"""),10)</f>
        <v>10</v>
      </c>
      <c r="L58" s="23">
        <f ca="1">IFERROR(__xludf.DUMMYFUNCTION("""COMPUTED_VALUE"""),22)</f>
        <v>22</v>
      </c>
      <c r="M58" s="23">
        <f ca="1">IFERROR(__xludf.DUMMYFUNCTION("""COMPUTED_VALUE"""),0)</f>
        <v>0</v>
      </c>
      <c r="N58" s="23">
        <f ca="1">IFERROR(__xludf.DUMMYFUNCTION("""COMPUTED_VALUE"""),0)</f>
        <v>0</v>
      </c>
      <c r="O58" s="23">
        <f ca="1">IFERROR(__xludf.DUMMYFUNCTION("""COMPUTED_VALUE"""),0)</f>
        <v>0</v>
      </c>
      <c r="P58" s="23">
        <f ca="1">IFERROR(__xludf.DUMMYFUNCTION("""COMPUTED_VALUE"""),0)</f>
        <v>0</v>
      </c>
      <c r="Q58" s="23">
        <f ca="1">IFERROR(__xludf.DUMMYFUNCTION("""COMPUTED_VALUE"""),0)</f>
        <v>0</v>
      </c>
      <c r="R58" s="23">
        <f ca="1">IFERROR(__xludf.DUMMYFUNCTION("""COMPUTED_VALUE"""),0)</f>
        <v>0</v>
      </c>
      <c r="S58" s="23">
        <f ca="1">IFERROR(__xludf.DUMMYFUNCTION("""COMPUTED_VALUE"""),55)</f>
        <v>55</v>
      </c>
    </row>
    <row r="59" spans="1:19">
      <c r="A59" s="23" t="str">
        <f ca="1">IFERROR(__xludf.DUMMYFUNCTION("""COMPUTED_VALUE"""),"CANALIZACIÓN A TALLERES EXTERNOS (SUBROGADOS) ")</f>
        <v xml:space="preserve">CANALIZACIÓN A TALLERES EXTERNOS (SUBROGADOS) </v>
      </c>
      <c r="B59" s="23">
        <f ca="1">IFERROR(__xludf.DUMMYFUNCTION("""COMPUTED_VALUE"""),1)</f>
        <v>1</v>
      </c>
      <c r="C59" s="23"/>
      <c r="D59" s="23" t="str">
        <f ca="1">IFERROR(__xludf.DUMMYFUNCTION("""COMPUTED_VALUE"""),"ASCENDENTE")</f>
        <v>ASCENDENTE</v>
      </c>
      <c r="E59" s="23" t="str">
        <f ca="1">IFERROR(__xludf.DUMMYFUNCTION("""COMPUTED_VALUE"""),"BITACORA OPERATIVA")</f>
        <v>BITACORA OPERATIVA</v>
      </c>
      <c r="F59" s="23">
        <f ca="1">IFERROR(__xludf.DUMMYFUNCTION("""COMPUTED_VALUE"""),0)</f>
        <v>0</v>
      </c>
      <c r="G59" s="23">
        <f ca="1">IFERROR(__xludf.DUMMYFUNCTION("""COMPUTED_VALUE"""),0)</f>
        <v>0</v>
      </c>
      <c r="H59" s="23">
        <f ca="1">IFERROR(__xludf.DUMMYFUNCTION("""COMPUTED_VALUE"""),0)</f>
        <v>0</v>
      </c>
      <c r="I59" s="23">
        <f ca="1">IFERROR(__xludf.DUMMYFUNCTION("""COMPUTED_VALUE"""),0)</f>
        <v>0</v>
      </c>
      <c r="J59" s="23">
        <f ca="1">IFERROR(__xludf.DUMMYFUNCTION("""COMPUTED_VALUE"""),91)</f>
        <v>91</v>
      </c>
      <c r="K59" s="23">
        <f ca="1">IFERROR(__xludf.DUMMYFUNCTION("""COMPUTED_VALUE"""),73)</f>
        <v>73</v>
      </c>
      <c r="L59" s="23">
        <f ca="1">IFERROR(__xludf.DUMMYFUNCTION("""COMPUTED_VALUE"""),85)</f>
        <v>85</v>
      </c>
      <c r="M59" s="23">
        <f ca="1">IFERROR(__xludf.DUMMYFUNCTION("""COMPUTED_VALUE"""),0)</f>
        <v>0</v>
      </c>
      <c r="N59" s="23">
        <f ca="1">IFERROR(__xludf.DUMMYFUNCTION("""COMPUTED_VALUE"""),0)</f>
        <v>0</v>
      </c>
      <c r="O59" s="23">
        <f ca="1">IFERROR(__xludf.DUMMYFUNCTION("""COMPUTED_VALUE"""),0)</f>
        <v>0</v>
      </c>
      <c r="P59" s="23">
        <f ca="1">IFERROR(__xludf.DUMMYFUNCTION("""COMPUTED_VALUE"""),0)</f>
        <v>0</v>
      </c>
      <c r="Q59" s="23">
        <f ca="1">IFERROR(__xludf.DUMMYFUNCTION("""COMPUTED_VALUE"""),0)</f>
        <v>0</v>
      </c>
      <c r="R59" s="23">
        <f ca="1">IFERROR(__xludf.DUMMYFUNCTION("""COMPUTED_VALUE"""),0)</f>
        <v>0</v>
      </c>
      <c r="S59" s="23">
        <f ca="1">IFERROR(__xludf.DUMMYFUNCTION("""COMPUTED_VALUE"""),249)</f>
        <v>249</v>
      </c>
    </row>
    <row r="60" spans="1:19">
      <c r="A60" s="23" t="str">
        <f ca="1">IFERROR(__xludf.DUMMYFUNCTION("""COMPUTED_VALUE"""),"AFINACIONES")</f>
        <v>AFINACIONES</v>
      </c>
      <c r="B60" s="23">
        <f ca="1">IFERROR(__xludf.DUMMYFUNCTION("""COMPUTED_VALUE"""),1)</f>
        <v>1</v>
      </c>
      <c r="C60" s="23"/>
      <c r="D60" s="23" t="str">
        <f ca="1">IFERROR(__xludf.DUMMYFUNCTION("""COMPUTED_VALUE"""),"ASCENDENTE")</f>
        <v>ASCENDENTE</v>
      </c>
      <c r="E60" s="23" t="str">
        <f ca="1">IFERROR(__xludf.DUMMYFUNCTION("""COMPUTED_VALUE"""),"BITACORA OPERATIVA")</f>
        <v>BITACORA OPERATIVA</v>
      </c>
      <c r="F60" s="23">
        <f ca="1">IFERROR(__xludf.DUMMYFUNCTION("""COMPUTED_VALUE"""),0)</f>
        <v>0</v>
      </c>
      <c r="G60" s="23">
        <f ca="1">IFERROR(__xludf.DUMMYFUNCTION("""COMPUTED_VALUE"""),0)</f>
        <v>0</v>
      </c>
      <c r="H60" s="23">
        <f ca="1">IFERROR(__xludf.DUMMYFUNCTION("""COMPUTED_VALUE"""),0)</f>
        <v>0</v>
      </c>
      <c r="I60" s="23">
        <f ca="1">IFERROR(__xludf.DUMMYFUNCTION("""COMPUTED_VALUE"""),0)</f>
        <v>0</v>
      </c>
      <c r="J60" s="23">
        <f ca="1">IFERROR(__xludf.DUMMYFUNCTION("""COMPUTED_VALUE"""),56)</f>
        <v>56</v>
      </c>
      <c r="K60" s="23">
        <f ca="1">IFERROR(__xludf.DUMMYFUNCTION("""COMPUTED_VALUE"""),63)</f>
        <v>63</v>
      </c>
      <c r="L60" s="23">
        <f ca="1">IFERROR(__xludf.DUMMYFUNCTION("""COMPUTED_VALUE"""),58)</f>
        <v>58</v>
      </c>
      <c r="M60" s="23">
        <f ca="1">IFERROR(__xludf.DUMMYFUNCTION("""COMPUTED_VALUE"""),0)</f>
        <v>0</v>
      </c>
      <c r="N60" s="23">
        <f ca="1">IFERROR(__xludf.DUMMYFUNCTION("""COMPUTED_VALUE"""),0)</f>
        <v>0</v>
      </c>
      <c r="O60" s="23">
        <f ca="1">IFERROR(__xludf.DUMMYFUNCTION("""COMPUTED_VALUE"""),0)</f>
        <v>0</v>
      </c>
      <c r="P60" s="23">
        <f ca="1">IFERROR(__xludf.DUMMYFUNCTION("""COMPUTED_VALUE"""),0)</f>
        <v>0</v>
      </c>
      <c r="Q60" s="23">
        <f ca="1">IFERROR(__xludf.DUMMYFUNCTION("""COMPUTED_VALUE"""),0)</f>
        <v>0</v>
      </c>
      <c r="R60" s="23">
        <f ca="1">IFERROR(__xludf.DUMMYFUNCTION("""COMPUTED_VALUE"""),0)</f>
        <v>0</v>
      </c>
      <c r="S60" s="23">
        <f ca="1">IFERROR(__xludf.DUMMYFUNCTION("""COMPUTED_VALUE"""),177)</f>
        <v>177</v>
      </c>
    </row>
    <row r="61" spans="1:19">
      <c r="A61" s="23" t="str">
        <f ca="1">IFERROR(__xludf.DUMMYFUNCTION("""COMPUTED_VALUE"""),"CAMBIO DE TAMBORES ")</f>
        <v xml:space="preserve">CAMBIO DE TAMBORES </v>
      </c>
      <c r="B61" s="23">
        <f ca="1">IFERROR(__xludf.DUMMYFUNCTION("""COMPUTED_VALUE"""),1)</f>
        <v>1</v>
      </c>
      <c r="C61" s="23"/>
      <c r="D61" s="23" t="str">
        <f ca="1">IFERROR(__xludf.DUMMYFUNCTION("""COMPUTED_VALUE"""),"ASCENDENTE")</f>
        <v>ASCENDENTE</v>
      </c>
      <c r="E61" s="23" t="str">
        <f ca="1">IFERROR(__xludf.DUMMYFUNCTION("""COMPUTED_VALUE"""),"BITACORA OPERATIVA")</f>
        <v>BITACORA OPERATIVA</v>
      </c>
      <c r="F61" s="23">
        <f ca="1">IFERROR(__xludf.DUMMYFUNCTION("""COMPUTED_VALUE"""),0)</f>
        <v>0</v>
      </c>
      <c r="G61" s="23">
        <f ca="1">IFERROR(__xludf.DUMMYFUNCTION("""COMPUTED_VALUE"""),0)</f>
        <v>0</v>
      </c>
      <c r="H61" s="23">
        <f ca="1">IFERROR(__xludf.DUMMYFUNCTION("""COMPUTED_VALUE"""),0)</f>
        <v>0</v>
      </c>
      <c r="I61" s="23">
        <f ca="1">IFERROR(__xludf.DUMMYFUNCTION("""COMPUTED_VALUE"""),0)</f>
        <v>0</v>
      </c>
      <c r="J61" s="23">
        <f ca="1">IFERROR(__xludf.DUMMYFUNCTION("""COMPUTED_VALUE"""),22)</f>
        <v>22</v>
      </c>
      <c r="K61" s="23">
        <f ca="1">IFERROR(__xludf.DUMMYFUNCTION("""COMPUTED_VALUE"""),10)</f>
        <v>10</v>
      </c>
      <c r="L61" s="23">
        <f ca="1">IFERROR(__xludf.DUMMYFUNCTION("""COMPUTED_VALUE"""),10)</f>
        <v>10</v>
      </c>
      <c r="M61" s="23">
        <f ca="1">IFERROR(__xludf.DUMMYFUNCTION("""COMPUTED_VALUE"""),0)</f>
        <v>0</v>
      </c>
      <c r="N61" s="23">
        <f ca="1">IFERROR(__xludf.DUMMYFUNCTION("""COMPUTED_VALUE"""),0)</f>
        <v>0</v>
      </c>
      <c r="O61" s="23">
        <f ca="1">IFERROR(__xludf.DUMMYFUNCTION("""COMPUTED_VALUE"""),0)</f>
        <v>0</v>
      </c>
      <c r="P61" s="23">
        <f ca="1">IFERROR(__xludf.DUMMYFUNCTION("""COMPUTED_VALUE"""),0)</f>
        <v>0</v>
      </c>
      <c r="Q61" s="23">
        <f ca="1">IFERROR(__xludf.DUMMYFUNCTION("""COMPUTED_VALUE"""),0)</f>
        <v>0</v>
      </c>
      <c r="R61" s="23">
        <f ca="1">IFERROR(__xludf.DUMMYFUNCTION("""COMPUTED_VALUE"""),0)</f>
        <v>0</v>
      </c>
      <c r="S61" s="23">
        <f ca="1">IFERROR(__xludf.DUMMYFUNCTION("""COMPUTED_VALUE"""),42)</f>
        <v>42</v>
      </c>
    </row>
    <row r="62" spans="1:19">
      <c r="A62" s="23" t="str">
        <f ca="1">IFERROR(__xludf.DUMMYFUNCTION("""COMPUTED_VALUE"""),"CAMBIO DE BALATAS")</f>
        <v>CAMBIO DE BALATAS</v>
      </c>
      <c r="B62" s="23">
        <f ca="1">IFERROR(__xludf.DUMMYFUNCTION("""COMPUTED_VALUE"""),1)</f>
        <v>1</v>
      </c>
      <c r="C62" s="23"/>
      <c r="D62" s="23" t="str">
        <f ca="1">IFERROR(__xludf.DUMMYFUNCTION("""COMPUTED_VALUE"""),"ASCENDENTE")</f>
        <v>ASCENDENTE</v>
      </c>
      <c r="E62" s="23" t="str">
        <f ca="1">IFERROR(__xludf.DUMMYFUNCTION("""COMPUTED_VALUE"""),"BITACORA OPERATIVA")</f>
        <v>BITACORA OPERATIVA</v>
      </c>
      <c r="F62" s="23">
        <f ca="1">IFERROR(__xludf.DUMMYFUNCTION("""COMPUTED_VALUE"""),0)</f>
        <v>0</v>
      </c>
      <c r="G62" s="23">
        <f ca="1">IFERROR(__xludf.DUMMYFUNCTION("""COMPUTED_VALUE"""),0)</f>
        <v>0</v>
      </c>
      <c r="H62" s="23">
        <f ca="1">IFERROR(__xludf.DUMMYFUNCTION("""COMPUTED_VALUE"""),0)</f>
        <v>0</v>
      </c>
      <c r="I62" s="23">
        <f ca="1">IFERROR(__xludf.DUMMYFUNCTION("""COMPUTED_VALUE"""),0)</f>
        <v>0</v>
      </c>
      <c r="J62" s="23">
        <f ca="1">IFERROR(__xludf.DUMMYFUNCTION("""COMPUTED_VALUE"""),0)</f>
        <v>0</v>
      </c>
      <c r="K62" s="23">
        <f ca="1">IFERROR(__xludf.DUMMYFUNCTION("""COMPUTED_VALUE"""),0)</f>
        <v>0</v>
      </c>
      <c r="L62" s="23">
        <f ca="1">IFERROR(__xludf.DUMMYFUNCTION("""COMPUTED_VALUE"""),1)</f>
        <v>1</v>
      </c>
      <c r="M62" s="23">
        <f ca="1">IFERROR(__xludf.DUMMYFUNCTION("""COMPUTED_VALUE"""),0)</f>
        <v>0</v>
      </c>
      <c r="N62" s="23">
        <f ca="1">IFERROR(__xludf.DUMMYFUNCTION("""COMPUTED_VALUE"""),0)</f>
        <v>0</v>
      </c>
      <c r="O62" s="23">
        <f ca="1">IFERROR(__xludf.DUMMYFUNCTION("""COMPUTED_VALUE"""),0)</f>
        <v>0</v>
      </c>
      <c r="P62" s="23">
        <f ca="1">IFERROR(__xludf.DUMMYFUNCTION("""COMPUTED_VALUE"""),0)</f>
        <v>0</v>
      </c>
      <c r="Q62" s="23">
        <f ca="1">IFERROR(__xludf.DUMMYFUNCTION("""COMPUTED_VALUE"""),0)</f>
        <v>0</v>
      </c>
      <c r="R62" s="23">
        <f ca="1">IFERROR(__xludf.DUMMYFUNCTION("""COMPUTED_VALUE"""),0)</f>
        <v>0</v>
      </c>
      <c r="S62" s="23">
        <f ca="1">IFERROR(__xludf.DUMMYFUNCTION("""COMPUTED_VALUE"""),1)</f>
        <v>1</v>
      </c>
    </row>
    <row r="63" spans="1:19">
      <c r="A63" s="23" t="str">
        <f ca="1">IFERROR(__xludf.DUMMYFUNCTION("""COMPUTED_VALUE"""),"REPARACIÓN DE EQUIPOS DE JARDINERÍA (DESBROZADORAS, MOTOBOMBAS, MOTOSIERRAS, ETC.)")</f>
        <v>REPARACIÓN DE EQUIPOS DE JARDINERÍA (DESBROZADORAS, MOTOBOMBAS, MOTOSIERRAS, ETC.)</v>
      </c>
      <c r="B63" s="23">
        <f ca="1">IFERROR(__xludf.DUMMYFUNCTION("""COMPUTED_VALUE"""),1)</f>
        <v>1</v>
      </c>
      <c r="C63" s="23"/>
      <c r="D63" s="23" t="str">
        <f ca="1">IFERROR(__xludf.DUMMYFUNCTION("""COMPUTED_VALUE"""),"ASCENDENTE")</f>
        <v>ASCENDENTE</v>
      </c>
      <c r="E63" s="23" t="str">
        <f ca="1">IFERROR(__xludf.DUMMYFUNCTION("""COMPUTED_VALUE"""),"BITACORA OPERATIVA")</f>
        <v>BITACORA OPERATIVA</v>
      </c>
      <c r="F63" s="23">
        <f ca="1">IFERROR(__xludf.DUMMYFUNCTION("""COMPUTED_VALUE"""),0)</f>
        <v>0</v>
      </c>
      <c r="G63" s="23">
        <f ca="1">IFERROR(__xludf.DUMMYFUNCTION("""COMPUTED_VALUE"""),0)</f>
        <v>0</v>
      </c>
      <c r="H63" s="23">
        <f ca="1">IFERROR(__xludf.DUMMYFUNCTION("""COMPUTED_VALUE"""),0)</f>
        <v>0</v>
      </c>
      <c r="I63" s="23">
        <f ca="1">IFERROR(__xludf.DUMMYFUNCTION("""COMPUTED_VALUE"""),0)</f>
        <v>0</v>
      </c>
      <c r="J63" s="23">
        <f ca="1">IFERROR(__xludf.DUMMYFUNCTION("""COMPUTED_VALUE"""),4)</f>
        <v>4</v>
      </c>
      <c r="K63" s="23">
        <f ca="1">IFERROR(__xludf.DUMMYFUNCTION("""COMPUTED_VALUE"""),7)</f>
        <v>7</v>
      </c>
      <c r="L63" s="23">
        <f ca="1">IFERROR(__xludf.DUMMYFUNCTION("""COMPUTED_VALUE"""),6)</f>
        <v>6</v>
      </c>
      <c r="M63" s="23">
        <f ca="1">IFERROR(__xludf.DUMMYFUNCTION("""COMPUTED_VALUE"""),0)</f>
        <v>0</v>
      </c>
      <c r="N63" s="23">
        <f ca="1">IFERROR(__xludf.DUMMYFUNCTION("""COMPUTED_VALUE"""),0)</f>
        <v>0</v>
      </c>
      <c r="O63" s="23">
        <f ca="1">IFERROR(__xludf.DUMMYFUNCTION("""COMPUTED_VALUE"""),0)</f>
        <v>0</v>
      </c>
      <c r="P63" s="23">
        <f ca="1">IFERROR(__xludf.DUMMYFUNCTION("""COMPUTED_VALUE"""),0)</f>
        <v>0</v>
      </c>
      <c r="Q63" s="23">
        <f ca="1">IFERROR(__xludf.DUMMYFUNCTION("""COMPUTED_VALUE"""),0)</f>
        <v>0</v>
      </c>
      <c r="R63" s="23">
        <f ca="1">IFERROR(__xludf.DUMMYFUNCTION("""COMPUTED_VALUE"""),0)</f>
        <v>0</v>
      </c>
      <c r="S63" s="23">
        <f ca="1">IFERROR(__xludf.DUMMYFUNCTION("""COMPUTED_VALUE"""),17)</f>
        <v>17</v>
      </c>
    </row>
    <row r="64" spans="1:19">
      <c r="A64" s="23" t="str">
        <f ca="1">IFERROR(__xludf.DUMMYFUNCTION("""COMPUTED_VALUE"""),"RECARGAS DE ACEITE")</f>
        <v>RECARGAS DE ACEITE</v>
      </c>
      <c r="B64" s="23">
        <f ca="1">IFERROR(__xludf.DUMMYFUNCTION("""COMPUTED_VALUE"""),1)</f>
        <v>1</v>
      </c>
      <c r="C64" s="23"/>
      <c r="D64" s="23" t="str">
        <f ca="1">IFERROR(__xludf.DUMMYFUNCTION("""COMPUTED_VALUE"""),"ASCENDENTE")</f>
        <v>ASCENDENTE</v>
      </c>
      <c r="E64" s="23" t="str">
        <f ca="1">IFERROR(__xludf.DUMMYFUNCTION("""COMPUTED_VALUE"""),"BITACORA OPERATIVA")</f>
        <v>BITACORA OPERATIVA</v>
      </c>
      <c r="F64" s="23">
        <f ca="1">IFERROR(__xludf.DUMMYFUNCTION("""COMPUTED_VALUE"""),0)</f>
        <v>0</v>
      </c>
      <c r="G64" s="23">
        <f ca="1">IFERROR(__xludf.DUMMYFUNCTION("""COMPUTED_VALUE"""),0)</f>
        <v>0</v>
      </c>
      <c r="H64" s="23">
        <f ca="1">IFERROR(__xludf.DUMMYFUNCTION("""COMPUTED_VALUE"""),0)</f>
        <v>0</v>
      </c>
      <c r="I64" s="23">
        <f ca="1">IFERROR(__xludf.DUMMYFUNCTION("""COMPUTED_VALUE"""),0)</f>
        <v>0</v>
      </c>
      <c r="J64" s="23">
        <f ca="1">IFERROR(__xludf.DUMMYFUNCTION("""COMPUTED_VALUE"""),58)</f>
        <v>58</v>
      </c>
      <c r="K64" s="23">
        <f ca="1">IFERROR(__xludf.DUMMYFUNCTION("""COMPUTED_VALUE"""),65)</f>
        <v>65</v>
      </c>
      <c r="L64" s="23">
        <f ca="1">IFERROR(__xludf.DUMMYFUNCTION("""COMPUTED_VALUE"""),48)</f>
        <v>48</v>
      </c>
      <c r="M64" s="23">
        <f ca="1">IFERROR(__xludf.DUMMYFUNCTION("""COMPUTED_VALUE"""),0)</f>
        <v>0</v>
      </c>
      <c r="N64" s="23">
        <f ca="1">IFERROR(__xludf.DUMMYFUNCTION("""COMPUTED_VALUE"""),0)</f>
        <v>0</v>
      </c>
      <c r="O64" s="23">
        <f ca="1">IFERROR(__xludf.DUMMYFUNCTION("""COMPUTED_VALUE"""),0)</f>
        <v>0</v>
      </c>
      <c r="P64" s="23">
        <f ca="1">IFERROR(__xludf.DUMMYFUNCTION("""COMPUTED_VALUE"""),0)</f>
        <v>0</v>
      </c>
      <c r="Q64" s="23">
        <f ca="1">IFERROR(__xludf.DUMMYFUNCTION("""COMPUTED_VALUE"""),0)</f>
        <v>0</v>
      </c>
      <c r="R64" s="23">
        <f ca="1">IFERROR(__xludf.DUMMYFUNCTION("""COMPUTED_VALUE"""),0)</f>
        <v>0</v>
      </c>
      <c r="S64" s="23">
        <f ca="1">IFERROR(__xludf.DUMMYFUNCTION("""COMPUTED_VALUE"""),171)</f>
        <v>171</v>
      </c>
    </row>
    <row r="65" spans="1:19">
      <c r="A65" s="23" t="str">
        <f ca="1">IFERROR(__xludf.DUMMYFUNCTION("""COMPUTED_VALUE"""),"INSTALACIÓN DE TABLAROCA M2")</f>
        <v>INSTALACIÓN DE TABLAROCA M2</v>
      </c>
      <c r="B65" s="23">
        <f ca="1">IFERROR(__xludf.DUMMYFUNCTION("""COMPUTED_VALUE"""),1)</f>
        <v>1</v>
      </c>
      <c r="C65" s="23"/>
      <c r="D65" s="23" t="str">
        <f ca="1">IFERROR(__xludf.DUMMYFUNCTION("""COMPUTED_VALUE"""),"ASCENDENTE")</f>
        <v>ASCENDENTE</v>
      </c>
      <c r="E65" s="23" t="str">
        <f ca="1">IFERROR(__xludf.DUMMYFUNCTION("""COMPUTED_VALUE"""),"BITACORA OPERATIVA")</f>
        <v>BITACORA OPERATIVA</v>
      </c>
      <c r="F65" s="23">
        <f ca="1">IFERROR(__xludf.DUMMYFUNCTION("""COMPUTED_VALUE"""),0)</f>
        <v>0</v>
      </c>
      <c r="G65" s="23">
        <f ca="1">IFERROR(__xludf.DUMMYFUNCTION("""COMPUTED_VALUE"""),0)</f>
        <v>0</v>
      </c>
      <c r="H65" s="23">
        <f ca="1">IFERROR(__xludf.DUMMYFUNCTION("""COMPUTED_VALUE"""),0)</f>
        <v>0</v>
      </c>
      <c r="I65" s="23">
        <f ca="1">IFERROR(__xludf.DUMMYFUNCTION("""COMPUTED_VALUE"""),0)</f>
        <v>0</v>
      </c>
      <c r="J65" s="23">
        <f ca="1">IFERROR(__xludf.DUMMYFUNCTION("""COMPUTED_VALUE"""),9)</f>
        <v>9</v>
      </c>
      <c r="K65" s="23">
        <f ca="1">IFERROR(__xludf.DUMMYFUNCTION("""COMPUTED_VALUE"""),4)</f>
        <v>4</v>
      </c>
      <c r="L65" s="23">
        <f ca="1">IFERROR(__xludf.DUMMYFUNCTION("""COMPUTED_VALUE"""),7)</f>
        <v>7</v>
      </c>
      <c r="M65" s="23">
        <f ca="1">IFERROR(__xludf.DUMMYFUNCTION("""COMPUTED_VALUE"""),0)</f>
        <v>0</v>
      </c>
      <c r="N65" s="23">
        <f ca="1">IFERROR(__xludf.DUMMYFUNCTION("""COMPUTED_VALUE"""),0)</f>
        <v>0</v>
      </c>
      <c r="O65" s="23">
        <f ca="1">IFERROR(__xludf.DUMMYFUNCTION("""COMPUTED_VALUE"""),0)</f>
        <v>0</v>
      </c>
      <c r="P65" s="23">
        <f ca="1">IFERROR(__xludf.DUMMYFUNCTION("""COMPUTED_VALUE"""),0)</f>
        <v>0</v>
      </c>
      <c r="Q65" s="23">
        <f ca="1">IFERROR(__xludf.DUMMYFUNCTION("""COMPUTED_VALUE"""),0)</f>
        <v>0</v>
      </c>
      <c r="R65" s="23">
        <f ca="1">IFERROR(__xludf.DUMMYFUNCTION("""COMPUTED_VALUE"""),0)</f>
        <v>0</v>
      </c>
      <c r="S65" s="23">
        <f ca="1">IFERROR(__xludf.DUMMYFUNCTION("""COMPUTED_VALUE"""),20)</f>
        <v>20</v>
      </c>
    </row>
    <row r="66" spans="1:19">
      <c r="A66" s="23" t="str">
        <f ca="1">IFERROR(__xludf.DUMMYFUNCTION("""COMPUTED_VALUE"""),"CALLES  BACHEADAS (NO. BACHES)")</f>
        <v>CALLES  BACHEADAS (NO. BACHES)</v>
      </c>
      <c r="B66" s="23">
        <f ca="1">IFERROR(__xludf.DUMMYFUNCTION("""COMPUTED_VALUE"""),1)</f>
        <v>1</v>
      </c>
      <c r="C66" s="23"/>
      <c r="D66" s="23" t="str">
        <f ca="1">IFERROR(__xludf.DUMMYFUNCTION("""COMPUTED_VALUE"""),"ASCENDENTE")</f>
        <v>ASCENDENTE</v>
      </c>
      <c r="E66" s="23" t="str">
        <f ca="1">IFERROR(__xludf.DUMMYFUNCTION("""COMPUTED_VALUE"""),"BITACORA OPERATIVA")</f>
        <v>BITACORA OPERATIVA</v>
      </c>
      <c r="F66" s="23">
        <f ca="1">IFERROR(__xludf.DUMMYFUNCTION("""COMPUTED_VALUE"""),0)</f>
        <v>0</v>
      </c>
      <c r="G66" s="23">
        <f ca="1">IFERROR(__xludf.DUMMYFUNCTION("""COMPUTED_VALUE"""),0)</f>
        <v>0</v>
      </c>
      <c r="H66" s="23">
        <f ca="1">IFERROR(__xludf.DUMMYFUNCTION("""COMPUTED_VALUE"""),0)</f>
        <v>0</v>
      </c>
      <c r="I66" s="23">
        <f ca="1">IFERROR(__xludf.DUMMYFUNCTION("""COMPUTED_VALUE"""),0)</f>
        <v>0</v>
      </c>
      <c r="J66" s="23">
        <f ca="1">IFERROR(__xludf.DUMMYFUNCTION("""COMPUTED_VALUE"""),0)</f>
        <v>0</v>
      </c>
      <c r="K66" s="23">
        <f ca="1">IFERROR(__xludf.DUMMYFUNCTION("""COMPUTED_VALUE"""),0)</f>
        <v>0</v>
      </c>
      <c r="L66" s="23">
        <f ca="1">IFERROR(__xludf.DUMMYFUNCTION("""COMPUTED_VALUE"""),0)</f>
        <v>0</v>
      </c>
      <c r="M66" s="23">
        <f ca="1">IFERROR(__xludf.DUMMYFUNCTION("""COMPUTED_VALUE"""),0)</f>
        <v>0</v>
      </c>
      <c r="N66" s="23">
        <f ca="1">IFERROR(__xludf.DUMMYFUNCTION("""COMPUTED_VALUE"""),0)</f>
        <v>0</v>
      </c>
      <c r="O66" s="23">
        <f ca="1">IFERROR(__xludf.DUMMYFUNCTION("""COMPUTED_VALUE"""),0)</f>
        <v>0</v>
      </c>
      <c r="P66" s="23">
        <f ca="1">IFERROR(__xludf.DUMMYFUNCTION("""COMPUTED_VALUE"""),0)</f>
        <v>0</v>
      </c>
      <c r="Q66" s="23">
        <f ca="1">IFERROR(__xludf.DUMMYFUNCTION("""COMPUTED_VALUE"""),0)</f>
        <v>0</v>
      </c>
      <c r="R66" s="23">
        <f ca="1">IFERROR(__xludf.DUMMYFUNCTION("""COMPUTED_VALUE"""),0)</f>
        <v>0</v>
      </c>
      <c r="S66" s="23">
        <f ca="1">IFERROR(__xludf.DUMMYFUNCTION("""COMPUTED_VALUE"""),0)</f>
        <v>0</v>
      </c>
    </row>
    <row r="67" spans="1:19">
      <c r="A67" s="23" t="str">
        <f ca="1">IFERROR(__xludf.DUMMYFUNCTION("""COMPUTED_VALUE"""),"CARRETERAS BACHEADAS (NO. BACHES)")</f>
        <v>CARRETERAS BACHEADAS (NO. BACHES)</v>
      </c>
      <c r="B67" s="23">
        <f ca="1">IFERROR(__xludf.DUMMYFUNCTION("""COMPUTED_VALUE"""),1)</f>
        <v>1</v>
      </c>
      <c r="C67" s="23"/>
      <c r="D67" s="23" t="str">
        <f ca="1">IFERROR(__xludf.DUMMYFUNCTION("""COMPUTED_VALUE"""),"ASCENDENTE")</f>
        <v>ASCENDENTE</v>
      </c>
      <c r="E67" s="23" t="str">
        <f ca="1">IFERROR(__xludf.DUMMYFUNCTION("""COMPUTED_VALUE"""),"BITACORA OPERATIVA")</f>
        <v>BITACORA OPERATIVA</v>
      </c>
      <c r="F67" s="23">
        <f ca="1">IFERROR(__xludf.DUMMYFUNCTION("""COMPUTED_VALUE"""),0)</f>
        <v>0</v>
      </c>
      <c r="G67" s="23">
        <f ca="1">IFERROR(__xludf.DUMMYFUNCTION("""COMPUTED_VALUE"""),0)</f>
        <v>0</v>
      </c>
      <c r="H67" s="23">
        <f ca="1">IFERROR(__xludf.DUMMYFUNCTION("""COMPUTED_VALUE"""),0)</f>
        <v>0</v>
      </c>
      <c r="I67" s="23">
        <f ca="1">IFERROR(__xludf.DUMMYFUNCTION("""COMPUTED_VALUE"""),0)</f>
        <v>0</v>
      </c>
      <c r="J67" s="23">
        <f ca="1">IFERROR(__xludf.DUMMYFUNCTION("""COMPUTED_VALUE"""),803)</f>
        <v>803</v>
      </c>
      <c r="K67" s="23">
        <f ca="1">IFERROR(__xludf.DUMMYFUNCTION("""COMPUTED_VALUE"""),960)</f>
        <v>960</v>
      </c>
      <c r="L67" s="23">
        <f ca="1">IFERROR(__xludf.DUMMYFUNCTION("""COMPUTED_VALUE"""),619)</f>
        <v>619</v>
      </c>
      <c r="M67" s="23">
        <f ca="1">IFERROR(__xludf.DUMMYFUNCTION("""COMPUTED_VALUE"""),0)</f>
        <v>0</v>
      </c>
      <c r="N67" s="23">
        <f ca="1">IFERROR(__xludf.DUMMYFUNCTION("""COMPUTED_VALUE"""),0)</f>
        <v>0</v>
      </c>
      <c r="O67" s="23">
        <f ca="1">IFERROR(__xludf.DUMMYFUNCTION("""COMPUTED_VALUE"""),0)</f>
        <v>0</v>
      </c>
      <c r="P67" s="23">
        <f ca="1">IFERROR(__xludf.DUMMYFUNCTION("""COMPUTED_VALUE"""),0)</f>
        <v>0</v>
      </c>
      <c r="Q67" s="23">
        <f ca="1">IFERROR(__xludf.DUMMYFUNCTION("""COMPUTED_VALUE"""),0)</f>
        <v>0</v>
      </c>
      <c r="R67" s="23">
        <f ca="1">IFERROR(__xludf.DUMMYFUNCTION("""COMPUTED_VALUE"""),0)</f>
        <v>0</v>
      </c>
      <c r="S67" s="23">
        <f ca="1">IFERROR(__xludf.DUMMYFUNCTION("""COMPUTED_VALUE"""),2382)</f>
        <v>2382</v>
      </c>
    </row>
    <row r="68" spans="1:19">
      <c r="A68" s="23" t="str">
        <f ca="1">IFERROR(__xludf.DUMMYFUNCTION("""COMPUTED_VALUE"""),"NÚMERO DE ASFALTO APLICADO (TONELADAS)")</f>
        <v>NÚMERO DE ASFALTO APLICADO (TONELADAS)</v>
      </c>
      <c r="B68" s="23">
        <f ca="1">IFERROR(__xludf.DUMMYFUNCTION("""COMPUTED_VALUE"""),1)</f>
        <v>1</v>
      </c>
      <c r="C68" s="23"/>
      <c r="D68" s="23" t="str">
        <f ca="1">IFERROR(__xludf.DUMMYFUNCTION("""COMPUTED_VALUE"""),"ASCENDENTE")</f>
        <v>ASCENDENTE</v>
      </c>
      <c r="E68" s="23" t="str">
        <f ca="1">IFERROR(__xludf.DUMMYFUNCTION("""COMPUTED_VALUE"""),"BITACORA OPERATIVA")</f>
        <v>BITACORA OPERATIVA</v>
      </c>
      <c r="F68" s="23">
        <f ca="1">IFERROR(__xludf.DUMMYFUNCTION("""COMPUTED_VALUE"""),0)</f>
        <v>0</v>
      </c>
      <c r="G68" s="23">
        <f ca="1">IFERROR(__xludf.DUMMYFUNCTION("""COMPUTED_VALUE"""),0)</f>
        <v>0</v>
      </c>
      <c r="H68" s="23">
        <f ca="1">IFERROR(__xludf.DUMMYFUNCTION("""COMPUTED_VALUE"""),0)</f>
        <v>0</v>
      </c>
      <c r="I68" s="23">
        <f ca="1">IFERROR(__xludf.DUMMYFUNCTION("""COMPUTED_VALUE"""),0)</f>
        <v>0</v>
      </c>
      <c r="J68" s="23">
        <f ca="1">IFERROR(__xludf.DUMMYFUNCTION("""COMPUTED_VALUE"""),709)</f>
        <v>709</v>
      </c>
      <c r="K68" s="23">
        <f ca="1">IFERROR(__xludf.DUMMYFUNCTION("""COMPUTED_VALUE"""),1050)</f>
        <v>1050</v>
      </c>
      <c r="L68" s="23">
        <f ca="1">IFERROR(__xludf.DUMMYFUNCTION("""COMPUTED_VALUE"""),897)</f>
        <v>897</v>
      </c>
      <c r="M68" s="23">
        <f ca="1">IFERROR(__xludf.DUMMYFUNCTION("""COMPUTED_VALUE"""),0)</f>
        <v>0</v>
      </c>
      <c r="N68" s="23">
        <f ca="1">IFERROR(__xludf.DUMMYFUNCTION("""COMPUTED_VALUE"""),0)</f>
        <v>0</v>
      </c>
      <c r="O68" s="23">
        <f ca="1">IFERROR(__xludf.DUMMYFUNCTION("""COMPUTED_VALUE"""),0)</f>
        <v>0</v>
      </c>
      <c r="P68" s="23">
        <f ca="1">IFERROR(__xludf.DUMMYFUNCTION("""COMPUTED_VALUE"""),0)</f>
        <v>0</v>
      </c>
      <c r="Q68" s="23">
        <f ca="1">IFERROR(__xludf.DUMMYFUNCTION("""COMPUTED_VALUE"""),0)</f>
        <v>0</v>
      </c>
      <c r="R68" s="23">
        <f ca="1">IFERROR(__xludf.DUMMYFUNCTION("""COMPUTED_VALUE"""),0)</f>
        <v>0</v>
      </c>
      <c r="S68" s="23">
        <f ca="1">IFERROR(__xludf.DUMMYFUNCTION("""COMPUTED_VALUE"""),2656)</f>
        <v>2656</v>
      </c>
    </row>
    <row r="69" spans="1:19">
      <c r="A69" s="23" t="str">
        <f ca="1">IFERROR(__xludf.DUMMYFUNCTION("""COMPUTED_VALUE"""),"INSTALACIÓN DE POSTES PARA LÁMPARAS")</f>
        <v>INSTALACIÓN DE POSTES PARA LÁMPARAS</v>
      </c>
      <c r="B69" s="23">
        <f ca="1">IFERROR(__xludf.DUMMYFUNCTION("""COMPUTED_VALUE"""),1)</f>
        <v>1</v>
      </c>
      <c r="C69" s="23"/>
      <c r="D69" s="23" t="str">
        <f ca="1">IFERROR(__xludf.DUMMYFUNCTION("""COMPUTED_VALUE"""),"ASCENDENTE")</f>
        <v>ASCENDENTE</v>
      </c>
      <c r="E69" s="23" t="str">
        <f ca="1">IFERROR(__xludf.DUMMYFUNCTION("""COMPUTED_VALUE"""),"BITACORA OPERATIVA")</f>
        <v>BITACORA OPERATIVA</v>
      </c>
      <c r="F69" s="23">
        <f ca="1">IFERROR(__xludf.DUMMYFUNCTION("""COMPUTED_VALUE"""),0)</f>
        <v>0</v>
      </c>
      <c r="G69" s="23">
        <f ca="1">IFERROR(__xludf.DUMMYFUNCTION("""COMPUTED_VALUE"""),0)</f>
        <v>0</v>
      </c>
      <c r="H69" s="23">
        <f ca="1">IFERROR(__xludf.DUMMYFUNCTION("""COMPUTED_VALUE"""),0)</f>
        <v>0</v>
      </c>
      <c r="I69" s="23">
        <f ca="1">IFERROR(__xludf.DUMMYFUNCTION("""COMPUTED_VALUE"""),0)</f>
        <v>0</v>
      </c>
      <c r="J69" s="23">
        <f ca="1">IFERROR(__xludf.DUMMYFUNCTION("""COMPUTED_VALUE"""),185)</f>
        <v>185</v>
      </c>
      <c r="K69" s="23">
        <f ca="1">IFERROR(__xludf.DUMMYFUNCTION("""COMPUTED_VALUE"""),198)</f>
        <v>198</v>
      </c>
      <c r="L69" s="23">
        <f ca="1">IFERROR(__xludf.DUMMYFUNCTION("""COMPUTED_VALUE"""),178)</f>
        <v>178</v>
      </c>
      <c r="M69" s="23">
        <f ca="1">IFERROR(__xludf.DUMMYFUNCTION("""COMPUTED_VALUE"""),0)</f>
        <v>0</v>
      </c>
      <c r="N69" s="23">
        <f ca="1">IFERROR(__xludf.DUMMYFUNCTION("""COMPUTED_VALUE"""),0)</f>
        <v>0</v>
      </c>
      <c r="O69" s="23">
        <f ca="1">IFERROR(__xludf.DUMMYFUNCTION("""COMPUTED_VALUE"""),0)</f>
        <v>0</v>
      </c>
      <c r="P69" s="23">
        <f ca="1">IFERROR(__xludf.DUMMYFUNCTION("""COMPUTED_VALUE"""),0)</f>
        <v>0</v>
      </c>
      <c r="Q69" s="23">
        <f ca="1">IFERROR(__xludf.DUMMYFUNCTION("""COMPUTED_VALUE"""),0)</f>
        <v>0</v>
      </c>
      <c r="R69" s="23">
        <f ca="1">IFERROR(__xludf.DUMMYFUNCTION("""COMPUTED_VALUE"""),0)</f>
        <v>0</v>
      </c>
      <c r="S69" s="23">
        <f ca="1">IFERROR(__xludf.DUMMYFUNCTION("""COMPUTED_VALUE"""),561)</f>
        <v>561</v>
      </c>
    </row>
    <row r="70" spans="1:19">
      <c r="A70" s="23" t="str">
        <f ca="1">IFERROR(__xludf.DUMMYFUNCTION("""COMPUTED_VALUE"""),"FUMIGACION EN CALLES")</f>
        <v>FUMIGACION EN CALLES</v>
      </c>
      <c r="B70" s="23">
        <f ca="1">IFERROR(__xludf.DUMMYFUNCTION("""COMPUTED_VALUE"""),1)</f>
        <v>1</v>
      </c>
      <c r="C70" s="23"/>
      <c r="D70" s="23" t="str">
        <f ca="1">IFERROR(__xludf.DUMMYFUNCTION("""COMPUTED_VALUE"""),"ASCENDENTE")</f>
        <v>ASCENDENTE</v>
      </c>
      <c r="E70" s="23" t="str">
        <f ca="1">IFERROR(__xludf.DUMMYFUNCTION("""COMPUTED_VALUE"""),"BITACORA OPERATIVA")</f>
        <v>BITACORA OPERATIVA</v>
      </c>
      <c r="F70" s="23">
        <f ca="1">IFERROR(__xludf.DUMMYFUNCTION("""COMPUTED_VALUE"""),0)</f>
        <v>0</v>
      </c>
      <c r="G70" s="23">
        <f ca="1">IFERROR(__xludf.DUMMYFUNCTION("""COMPUTED_VALUE"""),0)</f>
        <v>0</v>
      </c>
      <c r="H70" s="23">
        <f ca="1">IFERROR(__xludf.DUMMYFUNCTION("""COMPUTED_VALUE"""),0)</f>
        <v>0</v>
      </c>
      <c r="I70" s="23">
        <f ca="1">IFERROR(__xludf.DUMMYFUNCTION("""COMPUTED_VALUE"""),0)</f>
        <v>0</v>
      </c>
      <c r="J70" s="23">
        <f ca="1">IFERROR(__xludf.DUMMYFUNCTION("""COMPUTED_VALUE"""),0)</f>
        <v>0</v>
      </c>
      <c r="K70" s="23">
        <f ca="1">IFERROR(__xludf.DUMMYFUNCTION("""COMPUTED_VALUE"""),0)</f>
        <v>0</v>
      </c>
      <c r="L70" s="23">
        <f ca="1">IFERROR(__xludf.DUMMYFUNCTION("""COMPUTED_VALUE"""),0)</f>
        <v>0</v>
      </c>
      <c r="M70" s="23">
        <f ca="1">IFERROR(__xludf.DUMMYFUNCTION("""COMPUTED_VALUE"""),0)</f>
        <v>0</v>
      </c>
      <c r="N70" s="23">
        <f ca="1">IFERROR(__xludf.DUMMYFUNCTION("""COMPUTED_VALUE"""),0)</f>
        <v>0</v>
      </c>
      <c r="O70" s="23">
        <f ca="1">IFERROR(__xludf.DUMMYFUNCTION("""COMPUTED_VALUE"""),0)</f>
        <v>0</v>
      </c>
      <c r="P70" s="23">
        <f ca="1">IFERROR(__xludf.DUMMYFUNCTION("""COMPUTED_VALUE"""),0)</f>
        <v>0</v>
      </c>
      <c r="Q70" s="23">
        <f ca="1">IFERROR(__xludf.DUMMYFUNCTION("""COMPUTED_VALUE"""),0)</f>
        <v>0</v>
      </c>
      <c r="R70" s="23">
        <f ca="1">IFERROR(__xludf.DUMMYFUNCTION("""COMPUTED_VALUE"""),0)</f>
        <v>0</v>
      </c>
      <c r="S70" s="23">
        <f ca="1">IFERROR(__xludf.DUMMYFUNCTION("""COMPUTED_VALUE"""),0)</f>
        <v>0</v>
      </c>
    </row>
    <row r="71" spans="1:19">
      <c r="A71" s="23" t="str">
        <f ca="1">IFERROR(__xludf.DUMMYFUNCTION("""COMPUTED_VALUE""")," FUMIGACION EN EDIFICIOS Y PLAZAS PÚBLICOS")</f>
        <v xml:space="preserve"> FUMIGACION EN EDIFICIOS Y PLAZAS PÚBLICOS</v>
      </c>
      <c r="B71" s="23">
        <f ca="1">IFERROR(__xludf.DUMMYFUNCTION("""COMPUTED_VALUE"""),1)</f>
        <v>1</v>
      </c>
      <c r="C71" s="23"/>
      <c r="D71" s="23" t="str">
        <f ca="1">IFERROR(__xludf.DUMMYFUNCTION("""COMPUTED_VALUE"""),"ASCENDENTE")</f>
        <v>ASCENDENTE</v>
      </c>
      <c r="E71" s="23" t="str">
        <f ca="1">IFERROR(__xludf.DUMMYFUNCTION("""COMPUTED_VALUE"""),"BITACORA OPERATIVA")</f>
        <v>BITACORA OPERATIVA</v>
      </c>
      <c r="F71" s="23">
        <f ca="1">IFERROR(__xludf.DUMMYFUNCTION("""COMPUTED_VALUE"""),0)</f>
        <v>0</v>
      </c>
      <c r="G71" s="23">
        <f ca="1">IFERROR(__xludf.DUMMYFUNCTION("""COMPUTED_VALUE"""),0)</f>
        <v>0</v>
      </c>
      <c r="H71" s="23">
        <f ca="1">IFERROR(__xludf.DUMMYFUNCTION("""COMPUTED_VALUE"""),0)</f>
        <v>0</v>
      </c>
      <c r="I71" s="23">
        <f ca="1">IFERROR(__xludf.DUMMYFUNCTION("""COMPUTED_VALUE"""),0)</f>
        <v>0</v>
      </c>
      <c r="J71" s="23">
        <f ca="1">IFERROR(__xludf.DUMMYFUNCTION("""COMPUTED_VALUE"""),0)</f>
        <v>0</v>
      </c>
      <c r="K71" s="23">
        <f ca="1">IFERROR(__xludf.DUMMYFUNCTION("""COMPUTED_VALUE"""),0)</f>
        <v>0</v>
      </c>
      <c r="L71" s="23">
        <f ca="1">IFERROR(__xludf.DUMMYFUNCTION("""COMPUTED_VALUE"""),0)</f>
        <v>0</v>
      </c>
      <c r="M71" s="23">
        <f ca="1">IFERROR(__xludf.DUMMYFUNCTION("""COMPUTED_VALUE"""),0)</f>
        <v>0</v>
      </c>
      <c r="N71" s="23">
        <f ca="1">IFERROR(__xludf.DUMMYFUNCTION("""COMPUTED_VALUE"""),0)</f>
        <v>0</v>
      </c>
      <c r="O71" s="23">
        <f ca="1">IFERROR(__xludf.DUMMYFUNCTION("""COMPUTED_VALUE"""),0)</f>
        <v>0</v>
      </c>
      <c r="P71" s="23">
        <f ca="1">IFERROR(__xludf.DUMMYFUNCTION("""COMPUTED_VALUE"""),0)</f>
        <v>0</v>
      </c>
      <c r="Q71" s="23">
        <f ca="1">IFERROR(__xludf.DUMMYFUNCTION("""COMPUTED_VALUE"""),0)</f>
        <v>0</v>
      </c>
      <c r="R71" s="23">
        <f ca="1">IFERROR(__xludf.DUMMYFUNCTION("""COMPUTED_VALUE"""),0)</f>
        <v>0</v>
      </c>
      <c r="S71" s="23">
        <f ca="1">IFERROR(__xludf.DUMMYFUNCTION("""COMPUTED_VALUE"""),0)</f>
        <v>0</v>
      </c>
    </row>
    <row r="72" spans="1:19">
      <c r="A72" s="23" t="str">
        <f ca="1">IFERROR(__xludf.DUMMYFUNCTION("""COMPUTED_VALUE"""),"IMPERMEABILIZACIONES EN EDIFICIOS PÚBLICOS")</f>
        <v>IMPERMEABILIZACIONES EN EDIFICIOS PÚBLICOS</v>
      </c>
      <c r="B72" s="23">
        <f ca="1">IFERROR(__xludf.DUMMYFUNCTION("""COMPUTED_VALUE"""),1)</f>
        <v>1</v>
      </c>
      <c r="C72" s="23"/>
      <c r="D72" s="23" t="str">
        <f ca="1">IFERROR(__xludf.DUMMYFUNCTION("""COMPUTED_VALUE"""),"ASCENDENTE")</f>
        <v>ASCENDENTE</v>
      </c>
      <c r="E72" s="23" t="str">
        <f ca="1">IFERROR(__xludf.DUMMYFUNCTION("""COMPUTED_VALUE"""),"BITACORA OPERATIVA")</f>
        <v>BITACORA OPERATIVA</v>
      </c>
      <c r="F72" s="23">
        <f ca="1">IFERROR(__xludf.DUMMYFUNCTION("""COMPUTED_VALUE"""),0)</f>
        <v>0</v>
      </c>
      <c r="G72" s="23">
        <f ca="1">IFERROR(__xludf.DUMMYFUNCTION("""COMPUTED_VALUE"""),0)</f>
        <v>0</v>
      </c>
      <c r="H72" s="23">
        <f ca="1">IFERROR(__xludf.DUMMYFUNCTION("""COMPUTED_VALUE"""),0)</f>
        <v>0</v>
      </c>
      <c r="I72" s="23">
        <f ca="1">IFERROR(__xludf.DUMMYFUNCTION("""COMPUTED_VALUE"""),0)</f>
        <v>0</v>
      </c>
      <c r="J72" s="23">
        <f ca="1">IFERROR(__xludf.DUMMYFUNCTION("""COMPUTED_VALUE"""),0)</f>
        <v>0</v>
      </c>
      <c r="K72" s="23">
        <f ca="1">IFERROR(__xludf.DUMMYFUNCTION("""COMPUTED_VALUE"""),0)</f>
        <v>0</v>
      </c>
      <c r="L72" s="23">
        <f ca="1">IFERROR(__xludf.DUMMYFUNCTION("""COMPUTED_VALUE"""),0)</f>
        <v>0</v>
      </c>
      <c r="M72" s="23">
        <f ca="1">IFERROR(__xludf.DUMMYFUNCTION("""COMPUTED_VALUE"""),0)</f>
        <v>0</v>
      </c>
      <c r="N72" s="23">
        <f ca="1">IFERROR(__xludf.DUMMYFUNCTION("""COMPUTED_VALUE"""),0)</f>
        <v>0</v>
      </c>
      <c r="O72" s="23">
        <f ca="1">IFERROR(__xludf.DUMMYFUNCTION("""COMPUTED_VALUE"""),0)</f>
        <v>0</v>
      </c>
      <c r="P72" s="23">
        <f ca="1">IFERROR(__xludf.DUMMYFUNCTION("""COMPUTED_VALUE"""),0)</f>
        <v>0</v>
      </c>
      <c r="Q72" s="23">
        <f ca="1">IFERROR(__xludf.DUMMYFUNCTION("""COMPUTED_VALUE"""),0)</f>
        <v>0</v>
      </c>
      <c r="R72" s="23">
        <f ca="1">IFERROR(__xludf.DUMMYFUNCTION("""COMPUTED_VALUE"""),0)</f>
        <v>0</v>
      </c>
      <c r="S72" s="23">
        <f ca="1">IFERROR(__xludf.DUMMYFUNCTION("""COMPUTED_VALUE"""),0)</f>
        <v>0</v>
      </c>
    </row>
    <row r="73" spans="1:19">
      <c r="A73" s="23" t="str">
        <f ca="1">IFERROR(__xludf.DUMMYFUNCTION("""COMPUTED_VALUE"""),"IMPERMEABILIZACIONES EN ESCUELAS")</f>
        <v>IMPERMEABILIZACIONES EN ESCUELAS</v>
      </c>
      <c r="B73" s="23">
        <f ca="1">IFERROR(__xludf.DUMMYFUNCTION("""COMPUTED_VALUE"""),1)</f>
        <v>1</v>
      </c>
      <c r="C73" s="23"/>
      <c r="D73" s="23" t="str">
        <f ca="1">IFERROR(__xludf.DUMMYFUNCTION("""COMPUTED_VALUE"""),"ASCENDENTE")</f>
        <v>ASCENDENTE</v>
      </c>
      <c r="E73" s="23" t="str">
        <f ca="1">IFERROR(__xludf.DUMMYFUNCTION("""COMPUTED_VALUE"""),"BITACORA OPERATIVA")</f>
        <v>BITACORA OPERATIVA</v>
      </c>
      <c r="F73" s="23">
        <f ca="1">IFERROR(__xludf.DUMMYFUNCTION("""COMPUTED_VALUE"""),0)</f>
        <v>0</v>
      </c>
      <c r="G73" s="23">
        <f ca="1">IFERROR(__xludf.DUMMYFUNCTION("""COMPUTED_VALUE"""),0)</f>
        <v>0</v>
      </c>
      <c r="H73" s="23">
        <f ca="1">IFERROR(__xludf.DUMMYFUNCTION("""COMPUTED_VALUE"""),0)</f>
        <v>0</v>
      </c>
      <c r="I73" s="23">
        <f ca="1">IFERROR(__xludf.DUMMYFUNCTION("""COMPUTED_VALUE"""),0)</f>
        <v>0</v>
      </c>
      <c r="J73" s="23">
        <f ca="1">IFERROR(__xludf.DUMMYFUNCTION("""COMPUTED_VALUE"""),0)</f>
        <v>0</v>
      </c>
      <c r="K73" s="23">
        <f ca="1">IFERROR(__xludf.DUMMYFUNCTION("""COMPUTED_VALUE"""),0)</f>
        <v>0</v>
      </c>
      <c r="L73" s="23">
        <f ca="1">IFERROR(__xludf.DUMMYFUNCTION("""COMPUTED_VALUE"""),0)</f>
        <v>0</v>
      </c>
      <c r="M73" s="23">
        <f ca="1">IFERROR(__xludf.DUMMYFUNCTION("""COMPUTED_VALUE"""),0)</f>
        <v>0</v>
      </c>
      <c r="N73" s="23">
        <f ca="1">IFERROR(__xludf.DUMMYFUNCTION("""COMPUTED_VALUE"""),0)</f>
        <v>0</v>
      </c>
      <c r="O73" s="23">
        <f ca="1">IFERROR(__xludf.DUMMYFUNCTION("""COMPUTED_VALUE"""),0)</f>
        <v>0</v>
      </c>
      <c r="P73" s="23">
        <f ca="1">IFERROR(__xludf.DUMMYFUNCTION("""COMPUTED_VALUE"""),0)</f>
        <v>0</v>
      </c>
      <c r="Q73" s="23">
        <f ca="1">IFERROR(__xludf.DUMMYFUNCTION("""COMPUTED_VALUE"""),0)</f>
        <v>0</v>
      </c>
      <c r="R73" s="23">
        <f ca="1">IFERROR(__xludf.DUMMYFUNCTION("""COMPUTED_VALUE"""),0)</f>
        <v>0</v>
      </c>
      <c r="S73" s="23">
        <f ca="1">IFERROR(__xludf.DUMMYFUNCTION("""COMPUTED_VALUE"""),0)</f>
        <v>0</v>
      </c>
    </row>
    <row r="74" spans="1:19">
      <c r="A74" s="23" t="str">
        <f ca="1">IFERROR(__xludf.DUMMYFUNCTION("""COMPUTED_VALUE"""),"ACCIONES DE INTERVENCION CON PINTUR A UNIDADES DEPORTIVAS")</f>
        <v>ACCIONES DE INTERVENCION CON PINTUR A UNIDADES DEPORTIVAS</v>
      </c>
      <c r="B74" s="23">
        <f ca="1">IFERROR(__xludf.DUMMYFUNCTION("""COMPUTED_VALUE"""),1)</f>
        <v>1</v>
      </c>
      <c r="C74" s="23"/>
      <c r="D74" s="23" t="str">
        <f ca="1">IFERROR(__xludf.DUMMYFUNCTION("""COMPUTED_VALUE"""),"ASCENDENTE")</f>
        <v>ASCENDENTE</v>
      </c>
      <c r="E74" s="23" t="str">
        <f ca="1">IFERROR(__xludf.DUMMYFUNCTION("""COMPUTED_VALUE"""),"BITACORA OPERATIVA")</f>
        <v>BITACORA OPERATIVA</v>
      </c>
      <c r="F74" s="23">
        <f ca="1">IFERROR(__xludf.DUMMYFUNCTION("""COMPUTED_VALUE"""),0)</f>
        <v>0</v>
      </c>
      <c r="G74" s="23">
        <f ca="1">IFERROR(__xludf.DUMMYFUNCTION("""COMPUTED_VALUE"""),0)</f>
        <v>0</v>
      </c>
      <c r="H74" s="23">
        <f ca="1">IFERROR(__xludf.DUMMYFUNCTION("""COMPUTED_VALUE"""),0)</f>
        <v>0</v>
      </c>
      <c r="I74" s="23">
        <f ca="1">IFERROR(__xludf.DUMMYFUNCTION("""COMPUTED_VALUE"""),0)</f>
        <v>0</v>
      </c>
      <c r="J74" s="23">
        <f ca="1">IFERROR(__xludf.DUMMYFUNCTION("""COMPUTED_VALUE"""),0)</f>
        <v>0</v>
      </c>
      <c r="K74" s="23">
        <f ca="1">IFERROR(__xludf.DUMMYFUNCTION("""COMPUTED_VALUE"""),0)</f>
        <v>0</v>
      </c>
      <c r="L74" s="23">
        <f ca="1">IFERROR(__xludf.DUMMYFUNCTION("""COMPUTED_VALUE"""),0)</f>
        <v>0</v>
      </c>
      <c r="M74" s="23">
        <f ca="1">IFERROR(__xludf.DUMMYFUNCTION("""COMPUTED_VALUE"""),0)</f>
        <v>0</v>
      </c>
      <c r="N74" s="23">
        <f ca="1">IFERROR(__xludf.DUMMYFUNCTION("""COMPUTED_VALUE"""),0)</f>
        <v>0</v>
      </c>
      <c r="O74" s="23">
        <f ca="1">IFERROR(__xludf.DUMMYFUNCTION("""COMPUTED_VALUE"""),0)</f>
        <v>0</v>
      </c>
      <c r="P74" s="23">
        <f ca="1">IFERROR(__xludf.DUMMYFUNCTION("""COMPUTED_VALUE"""),0)</f>
        <v>0</v>
      </c>
      <c r="Q74" s="23">
        <f ca="1">IFERROR(__xludf.DUMMYFUNCTION("""COMPUTED_VALUE"""),0)</f>
        <v>0</v>
      </c>
      <c r="R74" s="23">
        <f ca="1">IFERROR(__xludf.DUMMYFUNCTION("""COMPUTED_VALUE"""),0)</f>
        <v>0</v>
      </c>
      <c r="S74" s="23">
        <f ca="1">IFERROR(__xludf.DUMMYFUNCTION("""COMPUTED_VALUE"""),0)</f>
        <v>0</v>
      </c>
    </row>
    <row r="75" spans="1:19">
      <c r="A75" s="23" t="str">
        <f ca="1">IFERROR(__xludf.DUMMYFUNCTION("""COMPUTED_VALUE"""),"ACCIONES DE INTERVENCION CON PINTURA A OFICINAS Y FACHADAS DE EDIFICIOS PÚBLICOS")</f>
        <v>ACCIONES DE INTERVENCION CON PINTURA A OFICINAS Y FACHADAS DE EDIFICIOS PÚBLICOS</v>
      </c>
      <c r="B75" s="23">
        <f ca="1">IFERROR(__xludf.DUMMYFUNCTION("""COMPUTED_VALUE"""),1)</f>
        <v>1</v>
      </c>
      <c r="C75" s="23"/>
      <c r="D75" s="23" t="str">
        <f ca="1">IFERROR(__xludf.DUMMYFUNCTION("""COMPUTED_VALUE"""),"ASCENDENTE")</f>
        <v>ASCENDENTE</v>
      </c>
      <c r="E75" s="23" t="str">
        <f ca="1">IFERROR(__xludf.DUMMYFUNCTION("""COMPUTED_VALUE"""),"BITACORA OPERATIVA")</f>
        <v>BITACORA OPERATIVA</v>
      </c>
      <c r="F75" s="23">
        <f ca="1">IFERROR(__xludf.DUMMYFUNCTION("""COMPUTED_VALUE"""),0)</f>
        <v>0</v>
      </c>
      <c r="G75" s="23">
        <f ca="1">IFERROR(__xludf.DUMMYFUNCTION("""COMPUTED_VALUE"""),0)</f>
        <v>0</v>
      </c>
      <c r="H75" s="23">
        <f ca="1">IFERROR(__xludf.DUMMYFUNCTION("""COMPUTED_VALUE"""),0)</f>
        <v>0</v>
      </c>
      <c r="I75" s="23">
        <f ca="1">IFERROR(__xludf.DUMMYFUNCTION("""COMPUTED_VALUE"""),0)</f>
        <v>0</v>
      </c>
      <c r="J75" s="23">
        <f ca="1">IFERROR(__xludf.DUMMYFUNCTION("""COMPUTED_VALUE"""),1)</f>
        <v>1</v>
      </c>
      <c r="K75" s="23">
        <f ca="1">IFERROR(__xludf.DUMMYFUNCTION("""COMPUTED_VALUE"""),0)</f>
        <v>0</v>
      </c>
      <c r="L75" s="23">
        <f ca="1">IFERROR(__xludf.DUMMYFUNCTION("""COMPUTED_VALUE"""),1)</f>
        <v>1</v>
      </c>
      <c r="M75" s="23">
        <f ca="1">IFERROR(__xludf.DUMMYFUNCTION("""COMPUTED_VALUE"""),0)</f>
        <v>0</v>
      </c>
      <c r="N75" s="23">
        <f ca="1">IFERROR(__xludf.DUMMYFUNCTION("""COMPUTED_VALUE"""),0)</f>
        <v>0</v>
      </c>
      <c r="O75" s="23">
        <f ca="1">IFERROR(__xludf.DUMMYFUNCTION("""COMPUTED_VALUE"""),0)</f>
        <v>0</v>
      </c>
      <c r="P75" s="23">
        <f ca="1">IFERROR(__xludf.DUMMYFUNCTION("""COMPUTED_VALUE"""),0)</f>
        <v>0</v>
      </c>
      <c r="Q75" s="23">
        <f ca="1">IFERROR(__xludf.DUMMYFUNCTION("""COMPUTED_VALUE"""),0)</f>
        <v>0</v>
      </c>
      <c r="R75" s="23">
        <f ca="1">IFERROR(__xludf.DUMMYFUNCTION("""COMPUTED_VALUE"""),0)</f>
        <v>0</v>
      </c>
      <c r="S75" s="23">
        <f ca="1">IFERROR(__xludf.DUMMYFUNCTION("""COMPUTED_VALUE"""),2)</f>
        <v>2</v>
      </c>
    </row>
    <row r="76" spans="1:19">
      <c r="A76" s="23" t="str">
        <f ca="1">IFERROR(__xludf.DUMMYFUNCTION("""COMPUTED_VALUE"""),"ACCIONES DE INTERVENCION CON PINTURA PLAZAS PÚBLICAS")</f>
        <v>ACCIONES DE INTERVENCION CON PINTURA PLAZAS PÚBLICAS</v>
      </c>
      <c r="B76" s="23">
        <f ca="1">IFERROR(__xludf.DUMMYFUNCTION("""COMPUTED_VALUE"""),1)</f>
        <v>1</v>
      </c>
      <c r="C76" s="23"/>
      <c r="D76" s="23" t="str">
        <f ca="1">IFERROR(__xludf.DUMMYFUNCTION("""COMPUTED_VALUE"""),"ASCENDENTE")</f>
        <v>ASCENDENTE</v>
      </c>
      <c r="E76" s="23" t="str">
        <f ca="1">IFERROR(__xludf.DUMMYFUNCTION("""COMPUTED_VALUE"""),"BITACORA OPERATIVA")</f>
        <v>BITACORA OPERATIVA</v>
      </c>
      <c r="F76" s="23">
        <f ca="1">IFERROR(__xludf.DUMMYFUNCTION("""COMPUTED_VALUE"""),0)</f>
        <v>0</v>
      </c>
      <c r="G76" s="23">
        <f ca="1">IFERROR(__xludf.DUMMYFUNCTION("""COMPUTED_VALUE"""),0)</f>
        <v>0</v>
      </c>
      <c r="H76" s="23">
        <f ca="1">IFERROR(__xludf.DUMMYFUNCTION("""COMPUTED_VALUE"""),0)</f>
        <v>0</v>
      </c>
      <c r="I76" s="23">
        <f ca="1">IFERROR(__xludf.DUMMYFUNCTION("""COMPUTED_VALUE"""),0)</f>
        <v>0</v>
      </c>
      <c r="J76" s="23">
        <f ca="1">IFERROR(__xludf.DUMMYFUNCTION("""COMPUTED_VALUE"""),3)</f>
        <v>3</v>
      </c>
      <c r="K76" s="23">
        <f ca="1">IFERROR(__xludf.DUMMYFUNCTION("""COMPUTED_VALUE"""),6)</f>
        <v>6</v>
      </c>
      <c r="L76" s="23">
        <f ca="1">IFERROR(__xludf.DUMMYFUNCTION("""COMPUTED_VALUE"""),4)</f>
        <v>4</v>
      </c>
      <c r="M76" s="23">
        <f ca="1">IFERROR(__xludf.DUMMYFUNCTION("""COMPUTED_VALUE"""),0)</f>
        <v>0</v>
      </c>
      <c r="N76" s="23">
        <f ca="1">IFERROR(__xludf.DUMMYFUNCTION("""COMPUTED_VALUE"""),0)</f>
        <v>0</v>
      </c>
      <c r="O76" s="23">
        <f ca="1">IFERROR(__xludf.DUMMYFUNCTION("""COMPUTED_VALUE"""),0)</f>
        <v>0</v>
      </c>
      <c r="P76" s="23">
        <f ca="1">IFERROR(__xludf.DUMMYFUNCTION("""COMPUTED_VALUE"""),0)</f>
        <v>0</v>
      </c>
      <c r="Q76" s="23">
        <f ca="1">IFERROR(__xludf.DUMMYFUNCTION("""COMPUTED_VALUE"""),0)</f>
        <v>0</v>
      </c>
      <c r="R76" s="23">
        <f ca="1">IFERROR(__xludf.DUMMYFUNCTION("""COMPUTED_VALUE"""),0)</f>
        <v>0</v>
      </c>
      <c r="S76" s="23">
        <f ca="1">IFERROR(__xludf.DUMMYFUNCTION("""COMPUTED_VALUE"""),13)</f>
        <v>13</v>
      </c>
    </row>
    <row r="77" spans="1:19">
      <c r="A77" s="23" t="str">
        <f ca="1">IFERROR(__xludf.DUMMYFUNCTION("""COMPUTED_VALUE"""),"ACCIONES DE INTERVENCION CON PINTURA A  PARQUES")</f>
        <v>ACCIONES DE INTERVENCION CON PINTURA A  PARQUES</v>
      </c>
      <c r="B77" s="23">
        <f ca="1">IFERROR(__xludf.DUMMYFUNCTION("""COMPUTED_VALUE"""),1)</f>
        <v>1</v>
      </c>
      <c r="C77" s="23"/>
      <c r="D77" s="23" t="str">
        <f ca="1">IFERROR(__xludf.DUMMYFUNCTION("""COMPUTED_VALUE"""),"ASCENDENTE")</f>
        <v>ASCENDENTE</v>
      </c>
      <c r="E77" s="23" t="str">
        <f ca="1">IFERROR(__xludf.DUMMYFUNCTION("""COMPUTED_VALUE"""),"BITACORA OPERATIVA")</f>
        <v>BITACORA OPERATIVA</v>
      </c>
      <c r="F77" s="23">
        <f ca="1">IFERROR(__xludf.DUMMYFUNCTION("""COMPUTED_VALUE"""),0)</f>
        <v>0</v>
      </c>
      <c r="G77" s="23">
        <f ca="1">IFERROR(__xludf.DUMMYFUNCTION("""COMPUTED_VALUE"""),0)</f>
        <v>0</v>
      </c>
      <c r="H77" s="23">
        <f ca="1">IFERROR(__xludf.DUMMYFUNCTION("""COMPUTED_VALUE"""),0)</f>
        <v>0</v>
      </c>
      <c r="I77" s="23">
        <f ca="1">IFERROR(__xludf.DUMMYFUNCTION("""COMPUTED_VALUE"""),0)</f>
        <v>0</v>
      </c>
      <c r="J77" s="23">
        <f ca="1">IFERROR(__xludf.DUMMYFUNCTION("""COMPUTED_VALUE"""),3)</f>
        <v>3</v>
      </c>
      <c r="K77" s="23">
        <f ca="1">IFERROR(__xludf.DUMMYFUNCTION("""COMPUTED_VALUE"""),7)</f>
        <v>7</v>
      </c>
      <c r="L77" s="23">
        <f ca="1">IFERROR(__xludf.DUMMYFUNCTION("""COMPUTED_VALUE"""),4)</f>
        <v>4</v>
      </c>
      <c r="M77" s="23">
        <f ca="1">IFERROR(__xludf.DUMMYFUNCTION("""COMPUTED_VALUE"""),0)</f>
        <v>0</v>
      </c>
      <c r="N77" s="23">
        <f ca="1">IFERROR(__xludf.DUMMYFUNCTION("""COMPUTED_VALUE"""),0)</f>
        <v>0</v>
      </c>
      <c r="O77" s="23">
        <f ca="1">IFERROR(__xludf.DUMMYFUNCTION("""COMPUTED_VALUE"""),0)</f>
        <v>0</v>
      </c>
      <c r="P77" s="23">
        <f ca="1">IFERROR(__xludf.DUMMYFUNCTION("""COMPUTED_VALUE"""),0)</f>
        <v>0</v>
      </c>
      <c r="Q77" s="23">
        <f ca="1">IFERROR(__xludf.DUMMYFUNCTION("""COMPUTED_VALUE"""),0)</f>
        <v>0</v>
      </c>
      <c r="R77" s="23">
        <f ca="1">IFERROR(__xludf.DUMMYFUNCTION("""COMPUTED_VALUE"""),0)</f>
        <v>0</v>
      </c>
      <c r="S77" s="23">
        <f ca="1">IFERROR(__xludf.DUMMYFUNCTION("""COMPUTED_VALUE"""),14)</f>
        <v>14</v>
      </c>
    </row>
    <row r="78" spans="1:19">
      <c r="A78" s="23" t="str">
        <f ca="1">IFERROR(__xludf.DUMMYFUNCTION("""COMPUTED_VALUE"""),"ACCIONES DE INTERVENCION CON PINTUR A A ESCUELAS")</f>
        <v>ACCIONES DE INTERVENCION CON PINTUR A A ESCUELAS</v>
      </c>
      <c r="B78" s="23">
        <f ca="1">IFERROR(__xludf.DUMMYFUNCTION("""COMPUTED_VALUE"""),1)</f>
        <v>1</v>
      </c>
      <c r="C78" s="23"/>
      <c r="D78" s="23" t="str">
        <f ca="1">IFERROR(__xludf.DUMMYFUNCTION("""COMPUTED_VALUE"""),"ASCENDENTE")</f>
        <v>ASCENDENTE</v>
      </c>
      <c r="E78" s="23" t="str">
        <f ca="1">IFERROR(__xludf.DUMMYFUNCTION("""COMPUTED_VALUE"""),"BITACORA OPERATIVA")</f>
        <v>BITACORA OPERATIVA</v>
      </c>
      <c r="F78" s="23">
        <f ca="1">IFERROR(__xludf.DUMMYFUNCTION("""COMPUTED_VALUE"""),0)</f>
        <v>0</v>
      </c>
      <c r="G78" s="23">
        <f ca="1">IFERROR(__xludf.DUMMYFUNCTION("""COMPUTED_VALUE"""),0)</f>
        <v>0</v>
      </c>
      <c r="H78" s="23">
        <f ca="1">IFERROR(__xludf.DUMMYFUNCTION("""COMPUTED_VALUE"""),0)</f>
        <v>0</v>
      </c>
      <c r="I78" s="23">
        <f ca="1">IFERROR(__xludf.DUMMYFUNCTION("""COMPUTED_VALUE"""),0)</f>
        <v>0</v>
      </c>
      <c r="J78" s="23">
        <f ca="1">IFERROR(__xludf.DUMMYFUNCTION("""COMPUTED_VALUE"""),0)</f>
        <v>0</v>
      </c>
      <c r="K78" s="23">
        <f ca="1">IFERROR(__xludf.DUMMYFUNCTION("""COMPUTED_VALUE"""),0)</f>
        <v>0</v>
      </c>
      <c r="L78" s="23">
        <f ca="1">IFERROR(__xludf.DUMMYFUNCTION("""COMPUTED_VALUE"""),0)</f>
        <v>0</v>
      </c>
      <c r="M78" s="23">
        <f ca="1">IFERROR(__xludf.DUMMYFUNCTION("""COMPUTED_VALUE"""),0)</f>
        <v>0</v>
      </c>
      <c r="N78" s="23">
        <f ca="1">IFERROR(__xludf.DUMMYFUNCTION("""COMPUTED_VALUE"""),0)</f>
        <v>0</v>
      </c>
      <c r="O78" s="23">
        <f ca="1">IFERROR(__xludf.DUMMYFUNCTION("""COMPUTED_VALUE"""),0)</f>
        <v>0</v>
      </c>
      <c r="P78" s="23">
        <f ca="1">IFERROR(__xludf.DUMMYFUNCTION("""COMPUTED_VALUE"""),0)</f>
        <v>0</v>
      </c>
      <c r="Q78" s="23">
        <f ca="1">IFERROR(__xludf.DUMMYFUNCTION("""COMPUTED_VALUE"""),0)</f>
        <v>0</v>
      </c>
      <c r="R78" s="23">
        <f ca="1">IFERROR(__xludf.DUMMYFUNCTION("""COMPUTED_VALUE"""),0)</f>
        <v>0</v>
      </c>
      <c r="S78" s="23">
        <f ca="1">IFERROR(__xludf.DUMMYFUNCTION("""COMPUTED_VALUE"""),0)</f>
        <v>0</v>
      </c>
    </row>
    <row r="79" spans="1:19">
      <c r="A79" s="23" t="str">
        <f ca="1">IFERROR(__xludf.DUMMYFUNCTION("""COMPUTED_VALUE"""),"PINTURA (M2) APLICADA")</f>
        <v>PINTURA (M2) APLICADA</v>
      </c>
      <c r="B79" s="23">
        <f ca="1">IFERROR(__xludf.DUMMYFUNCTION("""COMPUTED_VALUE"""),1)</f>
        <v>1</v>
      </c>
      <c r="C79" s="23"/>
      <c r="D79" s="23" t="str">
        <f ca="1">IFERROR(__xludf.DUMMYFUNCTION("""COMPUTED_VALUE"""),"ASCENDENTE")</f>
        <v>ASCENDENTE</v>
      </c>
      <c r="E79" s="23" t="str">
        <f ca="1">IFERROR(__xludf.DUMMYFUNCTION("""COMPUTED_VALUE"""),"BITACORA OPERATIVA")</f>
        <v>BITACORA OPERATIVA</v>
      </c>
      <c r="F79" s="23">
        <f ca="1">IFERROR(__xludf.DUMMYFUNCTION("""COMPUTED_VALUE"""),0)</f>
        <v>0</v>
      </c>
      <c r="G79" s="23">
        <f ca="1">IFERROR(__xludf.DUMMYFUNCTION("""COMPUTED_VALUE"""),0)</f>
        <v>0</v>
      </c>
      <c r="H79" s="23">
        <f ca="1">IFERROR(__xludf.DUMMYFUNCTION("""COMPUTED_VALUE"""),0)</f>
        <v>0</v>
      </c>
      <c r="I79" s="23">
        <f ca="1">IFERROR(__xludf.DUMMYFUNCTION("""COMPUTED_VALUE"""),0)</f>
        <v>0</v>
      </c>
      <c r="J79" s="23">
        <f ca="1">IFERROR(__xludf.DUMMYFUNCTION("""COMPUTED_VALUE"""),0)</f>
        <v>0</v>
      </c>
      <c r="K79" s="23">
        <f ca="1">IFERROR(__xludf.DUMMYFUNCTION("""COMPUTED_VALUE"""),0)</f>
        <v>0</v>
      </c>
      <c r="L79" s="23">
        <f ca="1">IFERROR(__xludf.DUMMYFUNCTION("""COMPUTED_VALUE"""),0)</f>
        <v>0</v>
      </c>
      <c r="M79" s="23">
        <f ca="1">IFERROR(__xludf.DUMMYFUNCTION("""COMPUTED_VALUE"""),0)</f>
        <v>0</v>
      </c>
      <c r="N79" s="23">
        <f ca="1">IFERROR(__xludf.DUMMYFUNCTION("""COMPUTED_VALUE"""),0)</f>
        <v>0</v>
      </c>
      <c r="O79" s="23">
        <f ca="1">IFERROR(__xludf.DUMMYFUNCTION("""COMPUTED_VALUE"""),0)</f>
        <v>0</v>
      </c>
      <c r="P79" s="23">
        <f ca="1">IFERROR(__xludf.DUMMYFUNCTION("""COMPUTED_VALUE"""),0)</f>
        <v>0</v>
      </c>
      <c r="Q79" s="23">
        <f ca="1">IFERROR(__xludf.DUMMYFUNCTION("""COMPUTED_VALUE"""),0)</f>
        <v>0</v>
      </c>
      <c r="R79" s="23">
        <f ca="1">IFERROR(__xludf.DUMMYFUNCTION("""COMPUTED_VALUE"""),0)</f>
        <v>0</v>
      </c>
      <c r="S79" s="23">
        <f ca="1">IFERROR(__xludf.DUMMYFUNCTION("""COMPUTED_VALUE"""),0)</f>
        <v>0</v>
      </c>
    </row>
    <row r="80" spans="1:19">
      <c r="A80" s="23" t="str">
        <f ca="1">IFERROR(__xludf.DUMMYFUNCTION("""COMPUTED_VALUE"""),"ACCIONES DE MANTENIMIENTO A UNIDADES DEPORTIVAS Y CAMPOS DE FÚTBOL EN LA CABECERA MUNICIPAL")</f>
        <v>ACCIONES DE MANTENIMIENTO A UNIDADES DEPORTIVAS Y CAMPOS DE FÚTBOL EN LA CABECERA MUNICIPAL</v>
      </c>
      <c r="B80" s="23">
        <f ca="1">IFERROR(__xludf.DUMMYFUNCTION("""COMPUTED_VALUE"""),1)</f>
        <v>1</v>
      </c>
      <c r="C80" s="23"/>
      <c r="D80" s="23" t="str">
        <f ca="1">IFERROR(__xludf.DUMMYFUNCTION("""COMPUTED_VALUE"""),"ASCENDENTE")</f>
        <v>ASCENDENTE</v>
      </c>
      <c r="E80" s="23" t="str">
        <f ca="1">IFERROR(__xludf.DUMMYFUNCTION("""COMPUTED_VALUE"""),"BITACORA OPERATIVA")</f>
        <v>BITACORA OPERATIVA</v>
      </c>
      <c r="F80" s="23">
        <f ca="1">IFERROR(__xludf.DUMMYFUNCTION("""COMPUTED_VALUE"""),0)</f>
        <v>0</v>
      </c>
      <c r="G80" s="23">
        <f ca="1">IFERROR(__xludf.DUMMYFUNCTION("""COMPUTED_VALUE"""),0)</f>
        <v>0</v>
      </c>
      <c r="H80" s="23">
        <f ca="1">IFERROR(__xludf.DUMMYFUNCTION("""COMPUTED_VALUE"""),0)</f>
        <v>0</v>
      </c>
      <c r="I80" s="23">
        <f ca="1">IFERROR(__xludf.DUMMYFUNCTION("""COMPUTED_VALUE"""),0)</f>
        <v>0</v>
      </c>
      <c r="J80" s="23">
        <f ca="1">IFERROR(__xludf.DUMMYFUNCTION("""COMPUTED_VALUE"""),0)</f>
        <v>0</v>
      </c>
      <c r="K80" s="23">
        <f ca="1">IFERROR(__xludf.DUMMYFUNCTION("""COMPUTED_VALUE"""),0)</f>
        <v>0</v>
      </c>
      <c r="L80" s="23">
        <f ca="1">IFERROR(__xludf.DUMMYFUNCTION("""COMPUTED_VALUE"""),0)</f>
        <v>0</v>
      </c>
      <c r="M80" s="23">
        <f ca="1">IFERROR(__xludf.DUMMYFUNCTION("""COMPUTED_VALUE"""),0)</f>
        <v>0</v>
      </c>
      <c r="N80" s="23">
        <f ca="1">IFERROR(__xludf.DUMMYFUNCTION("""COMPUTED_VALUE"""),0)</f>
        <v>0</v>
      </c>
      <c r="O80" s="23">
        <f ca="1">IFERROR(__xludf.DUMMYFUNCTION("""COMPUTED_VALUE"""),0)</f>
        <v>0</v>
      </c>
      <c r="P80" s="23">
        <f ca="1">IFERROR(__xludf.DUMMYFUNCTION("""COMPUTED_VALUE"""),0)</f>
        <v>0</v>
      </c>
      <c r="Q80" s="23">
        <f ca="1">IFERROR(__xludf.DUMMYFUNCTION("""COMPUTED_VALUE"""),0)</f>
        <v>0</v>
      </c>
      <c r="R80" s="23">
        <f ca="1">IFERROR(__xludf.DUMMYFUNCTION("""COMPUTED_VALUE"""),0)</f>
        <v>0</v>
      </c>
      <c r="S80" s="23">
        <f ca="1">IFERROR(__xludf.DUMMYFUNCTION("""COMPUTED_VALUE"""),0)</f>
        <v>0</v>
      </c>
    </row>
    <row r="81" spans="1:19">
      <c r="A81" s="23" t="str">
        <f ca="1">IFERROR(__xludf.DUMMYFUNCTION("""COMPUTED_VALUE"""),"ACCIONES DE MANTENIMIENTO A PLAZAS PÚBLICAS")</f>
        <v>ACCIONES DE MANTENIMIENTO A PLAZAS PÚBLICAS</v>
      </c>
      <c r="B81" s="23">
        <f ca="1">IFERROR(__xludf.DUMMYFUNCTION("""COMPUTED_VALUE"""),1)</f>
        <v>1</v>
      </c>
      <c r="C81" s="23"/>
      <c r="D81" s="23" t="str">
        <f ca="1">IFERROR(__xludf.DUMMYFUNCTION("""COMPUTED_VALUE"""),"ASCENDENTE")</f>
        <v>ASCENDENTE</v>
      </c>
      <c r="E81" s="23" t="str">
        <f ca="1">IFERROR(__xludf.DUMMYFUNCTION("""COMPUTED_VALUE"""),"BITACORA OPERATIVA")</f>
        <v>BITACORA OPERATIVA</v>
      </c>
      <c r="F81" s="23">
        <f ca="1">IFERROR(__xludf.DUMMYFUNCTION("""COMPUTED_VALUE"""),0)</f>
        <v>0</v>
      </c>
      <c r="G81" s="23">
        <f ca="1">IFERROR(__xludf.DUMMYFUNCTION("""COMPUTED_VALUE"""),0)</f>
        <v>0</v>
      </c>
      <c r="H81" s="23">
        <f ca="1">IFERROR(__xludf.DUMMYFUNCTION("""COMPUTED_VALUE"""),0)</f>
        <v>0</v>
      </c>
      <c r="I81" s="23">
        <f ca="1">IFERROR(__xludf.DUMMYFUNCTION("""COMPUTED_VALUE"""),0)</f>
        <v>0</v>
      </c>
      <c r="J81" s="23">
        <f ca="1">IFERROR(__xludf.DUMMYFUNCTION("""COMPUTED_VALUE"""),163)</f>
        <v>163</v>
      </c>
      <c r="K81" s="23">
        <f ca="1">IFERROR(__xludf.DUMMYFUNCTION("""COMPUTED_VALUE"""),167)</f>
        <v>167</v>
      </c>
      <c r="L81" s="23">
        <f ca="1">IFERROR(__xludf.DUMMYFUNCTION("""COMPUTED_VALUE"""),190)</f>
        <v>190</v>
      </c>
      <c r="M81" s="23">
        <f ca="1">IFERROR(__xludf.DUMMYFUNCTION("""COMPUTED_VALUE"""),0)</f>
        <v>0</v>
      </c>
      <c r="N81" s="23">
        <f ca="1">IFERROR(__xludf.DUMMYFUNCTION("""COMPUTED_VALUE"""),0)</f>
        <v>0</v>
      </c>
      <c r="O81" s="23">
        <f ca="1">IFERROR(__xludf.DUMMYFUNCTION("""COMPUTED_VALUE"""),0)</f>
        <v>0</v>
      </c>
      <c r="P81" s="23">
        <f ca="1">IFERROR(__xludf.DUMMYFUNCTION("""COMPUTED_VALUE"""),0)</f>
        <v>0</v>
      </c>
      <c r="Q81" s="23">
        <f ca="1">IFERROR(__xludf.DUMMYFUNCTION("""COMPUTED_VALUE"""),0)</f>
        <v>0</v>
      </c>
      <c r="R81" s="23">
        <f ca="1">IFERROR(__xludf.DUMMYFUNCTION("""COMPUTED_VALUE"""),0)</f>
        <v>0</v>
      </c>
      <c r="S81" s="23">
        <f ca="1">IFERROR(__xludf.DUMMYFUNCTION("""COMPUTED_VALUE"""),520)</f>
        <v>520</v>
      </c>
    </row>
    <row r="82" spans="1:19">
      <c r="A82" s="23" t="str">
        <f ca="1">IFERROR(__xludf.DUMMYFUNCTION("""COMPUTED_VALUE"""),"ACCIONES DE MANTENIMIENTO A EDIFICIOS PÚBLICOS")</f>
        <v>ACCIONES DE MANTENIMIENTO A EDIFICIOS PÚBLICOS</v>
      </c>
      <c r="B82" s="23">
        <f ca="1">IFERROR(__xludf.DUMMYFUNCTION("""COMPUTED_VALUE"""),1)</f>
        <v>1</v>
      </c>
      <c r="C82" s="23"/>
      <c r="D82" s="23" t="str">
        <f ca="1">IFERROR(__xludf.DUMMYFUNCTION("""COMPUTED_VALUE"""),"ASCENDENTE")</f>
        <v>ASCENDENTE</v>
      </c>
      <c r="E82" s="23" t="str">
        <f ca="1">IFERROR(__xludf.DUMMYFUNCTION("""COMPUTED_VALUE"""),"BITACORA OPERATIVA")</f>
        <v>BITACORA OPERATIVA</v>
      </c>
      <c r="F82" s="23">
        <f ca="1">IFERROR(__xludf.DUMMYFUNCTION("""COMPUTED_VALUE"""),0)</f>
        <v>0</v>
      </c>
      <c r="G82" s="23">
        <f ca="1">IFERROR(__xludf.DUMMYFUNCTION("""COMPUTED_VALUE"""),0)</f>
        <v>0</v>
      </c>
      <c r="H82" s="23">
        <f ca="1">IFERROR(__xludf.DUMMYFUNCTION("""COMPUTED_VALUE"""),0)</f>
        <v>0</v>
      </c>
      <c r="I82" s="23">
        <f ca="1">IFERROR(__xludf.DUMMYFUNCTION("""COMPUTED_VALUE"""),0)</f>
        <v>0</v>
      </c>
      <c r="J82" s="23">
        <f ca="1">IFERROR(__xludf.DUMMYFUNCTION("""COMPUTED_VALUE"""),0)</f>
        <v>0</v>
      </c>
      <c r="K82" s="23">
        <f ca="1">IFERROR(__xludf.DUMMYFUNCTION("""COMPUTED_VALUE"""),0)</f>
        <v>0</v>
      </c>
      <c r="L82" s="23">
        <f ca="1">IFERROR(__xludf.DUMMYFUNCTION("""COMPUTED_VALUE"""),0)</f>
        <v>0</v>
      </c>
      <c r="M82" s="23">
        <f ca="1">IFERROR(__xludf.DUMMYFUNCTION("""COMPUTED_VALUE"""),0)</f>
        <v>0</v>
      </c>
      <c r="N82" s="23">
        <f ca="1">IFERROR(__xludf.DUMMYFUNCTION("""COMPUTED_VALUE"""),0)</f>
        <v>0</v>
      </c>
      <c r="O82" s="23">
        <f ca="1">IFERROR(__xludf.DUMMYFUNCTION("""COMPUTED_VALUE"""),0)</f>
        <v>0</v>
      </c>
      <c r="P82" s="23">
        <f ca="1">IFERROR(__xludf.DUMMYFUNCTION("""COMPUTED_VALUE"""),0)</f>
        <v>0</v>
      </c>
      <c r="Q82" s="23">
        <f ca="1">IFERROR(__xludf.DUMMYFUNCTION("""COMPUTED_VALUE"""),0)</f>
        <v>0</v>
      </c>
      <c r="R82" s="23">
        <f ca="1">IFERROR(__xludf.DUMMYFUNCTION("""COMPUTED_VALUE"""),0)</f>
        <v>0</v>
      </c>
      <c r="S82" s="23">
        <f ca="1">IFERROR(__xludf.DUMMYFUNCTION("""COMPUTED_VALUE"""),0)</f>
        <v>0</v>
      </c>
    </row>
    <row r="83" spans="1:19">
      <c r="A83" s="23" t="str">
        <f ca="1">IFERROR(__xludf.DUMMYFUNCTION("""COMPUTED_VALUE"""),"SACRIFICIO HUMANITARIO DE PERROS Y GATOS")</f>
        <v>SACRIFICIO HUMANITARIO DE PERROS Y GATOS</v>
      </c>
      <c r="B83" s="23">
        <f ca="1">IFERROR(__xludf.DUMMYFUNCTION("""COMPUTED_VALUE"""),1)</f>
        <v>1</v>
      </c>
      <c r="C83" s="23"/>
      <c r="D83" s="23" t="str">
        <f ca="1">IFERROR(__xludf.DUMMYFUNCTION("""COMPUTED_VALUE"""),"ASCENDENTE")</f>
        <v>ASCENDENTE</v>
      </c>
      <c r="E83" s="23" t="str">
        <f ca="1">IFERROR(__xludf.DUMMYFUNCTION("""COMPUTED_VALUE"""),"BITACORA OPERATIVA")</f>
        <v>BITACORA OPERATIVA</v>
      </c>
      <c r="F83" s="23">
        <f ca="1">IFERROR(__xludf.DUMMYFUNCTION("""COMPUTED_VALUE"""),0)</f>
        <v>0</v>
      </c>
      <c r="G83" s="23">
        <f ca="1">IFERROR(__xludf.DUMMYFUNCTION("""COMPUTED_VALUE"""),0)</f>
        <v>0</v>
      </c>
      <c r="H83" s="23">
        <f ca="1">IFERROR(__xludf.DUMMYFUNCTION("""COMPUTED_VALUE"""),0)</f>
        <v>0</v>
      </c>
      <c r="I83" s="23">
        <f ca="1">IFERROR(__xludf.DUMMYFUNCTION("""COMPUTED_VALUE"""),0)</f>
        <v>0</v>
      </c>
      <c r="J83" s="23">
        <f ca="1">IFERROR(__xludf.DUMMYFUNCTION("""COMPUTED_VALUE"""),0)</f>
        <v>0</v>
      </c>
      <c r="K83" s="23">
        <f ca="1">IFERROR(__xludf.DUMMYFUNCTION("""COMPUTED_VALUE"""),0)</f>
        <v>0</v>
      </c>
      <c r="L83" s="23">
        <f ca="1">IFERROR(__xludf.DUMMYFUNCTION("""COMPUTED_VALUE"""),0)</f>
        <v>0</v>
      </c>
      <c r="M83" s="23">
        <f ca="1">IFERROR(__xludf.DUMMYFUNCTION("""COMPUTED_VALUE"""),0)</f>
        <v>0</v>
      </c>
      <c r="N83" s="23">
        <f ca="1">IFERROR(__xludf.DUMMYFUNCTION("""COMPUTED_VALUE"""),0)</f>
        <v>0</v>
      </c>
      <c r="O83" s="23">
        <f ca="1">IFERROR(__xludf.DUMMYFUNCTION("""COMPUTED_VALUE"""),0)</f>
        <v>0</v>
      </c>
      <c r="P83" s="23">
        <f ca="1">IFERROR(__xludf.DUMMYFUNCTION("""COMPUTED_VALUE"""),0)</f>
        <v>0</v>
      </c>
      <c r="Q83" s="23">
        <f ca="1">IFERROR(__xludf.DUMMYFUNCTION("""COMPUTED_VALUE"""),0)</f>
        <v>0</v>
      </c>
      <c r="R83" s="23">
        <f ca="1">IFERROR(__xludf.DUMMYFUNCTION("""COMPUTED_VALUE"""),0)</f>
        <v>0</v>
      </c>
      <c r="S83" s="23">
        <f ca="1">IFERROR(__xludf.DUMMYFUNCTION("""COMPUTED_VALUE"""),0)</f>
        <v>0</v>
      </c>
    </row>
    <row r="84" spans="1:19">
      <c r="A84" s="23" t="str">
        <f ca="1">IFERROR(__xludf.DUMMYFUNCTION("""COMPUTED_VALUE"""),"ANIMALES EN RESGUARDO EN UNIDAD DE CONTROL CANINO")</f>
        <v>ANIMALES EN RESGUARDO EN UNIDAD DE CONTROL CANINO</v>
      </c>
      <c r="B84" s="23">
        <f ca="1">IFERROR(__xludf.DUMMYFUNCTION("""COMPUTED_VALUE"""),1)</f>
        <v>1</v>
      </c>
      <c r="C84" s="23"/>
      <c r="D84" s="23" t="str">
        <f ca="1">IFERROR(__xludf.DUMMYFUNCTION("""COMPUTED_VALUE"""),"ASCENDENTE")</f>
        <v>ASCENDENTE</v>
      </c>
      <c r="E84" s="23" t="str">
        <f ca="1">IFERROR(__xludf.DUMMYFUNCTION("""COMPUTED_VALUE"""),"BITACORA OPERATIVA")</f>
        <v>BITACORA OPERATIVA</v>
      </c>
      <c r="F84" s="23">
        <f ca="1">IFERROR(__xludf.DUMMYFUNCTION("""COMPUTED_VALUE"""),0)</f>
        <v>0</v>
      </c>
      <c r="G84" s="23">
        <f ca="1">IFERROR(__xludf.DUMMYFUNCTION("""COMPUTED_VALUE"""),0)</f>
        <v>0</v>
      </c>
      <c r="H84" s="23">
        <f ca="1">IFERROR(__xludf.DUMMYFUNCTION("""COMPUTED_VALUE"""),0)</f>
        <v>0</v>
      </c>
      <c r="I84" s="23">
        <f ca="1">IFERROR(__xludf.DUMMYFUNCTION("""COMPUTED_VALUE"""),0)</f>
        <v>0</v>
      </c>
      <c r="J84" s="23">
        <f ca="1">IFERROR(__xludf.DUMMYFUNCTION("""COMPUTED_VALUE"""),25)</f>
        <v>25</v>
      </c>
      <c r="K84" s="23">
        <f ca="1">IFERROR(__xludf.DUMMYFUNCTION("""COMPUTED_VALUE"""),27)</f>
        <v>27</v>
      </c>
      <c r="L84" s="23">
        <f ca="1">IFERROR(__xludf.DUMMYFUNCTION("""COMPUTED_VALUE"""),34)</f>
        <v>34</v>
      </c>
      <c r="M84" s="23">
        <f ca="1">IFERROR(__xludf.DUMMYFUNCTION("""COMPUTED_VALUE"""),0)</f>
        <v>0</v>
      </c>
      <c r="N84" s="23">
        <f ca="1">IFERROR(__xludf.DUMMYFUNCTION("""COMPUTED_VALUE"""),0)</f>
        <v>0</v>
      </c>
      <c r="O84" s="23">
        <f ca="1">IFERROR(__xludf.DUMMYFUNCTION("""COMPUTED_VALUE"""),0)</f>
        <v>0</v>
      </c>
      <c r="P84" s="23">
        <f ca="1">IFERROR(__xludf.DUMMYFUNCTION("""COMPUTED_VALUE"""),0)</f>
        <v>0</v>
      </c>
      <c r="Q84" s="23">
        <f ca="1">IFERROR(__xludf.DUMMYFUNCTION("""COMPUTED_VALUE"""),0)</f>
        <v>0</v>
      </c>
      <c r="R84" s="23">
        <f ca="1">IFERROR(__xludf.DUMMYFUNCTION("""COMPUTED_VALUE"""),0)</f>
        <v>0</v>
      </c>
      <c r="S84" s="23">
        <f ca="1">IFERROR(__xludf.DUMMYFUNCTION("""COMPUTED_VALUE"""),86)</f>
        <v>86</v>
      </c>
    </row>
    <row r="85" spans="1:19">
      <c r="A85" s="23" t="str">
        <f ca="1">IFERROR(__xludf.DUMMYFUNCTION("""COMPUTED_VALUE"""),"CAMPAÑAS PARA MASCOTAS REALIZADAS (VACUNACION, ESTERILIZACION ETC).")</f>
        <v>CAMPAÑAS PARA MASCOTAS REALIZADAS (VACUNACION, ESTERILIZACION ETC).</v>
      </c>
      <c r="B85" s="23">
        <f ca="1">IFERROR(__xludf.DUMMYFUNCTION("""COMPUTED_VALUE"""),1)</f>
        <v>1</v>
      </c>
      <c r="C85" s="23"/>
      <c r="D85" s="23" t="str">
        <f ca="1">IFERROR(__xludf.DUMMYFUNCTION("""COMPUTED_VALUE"""),"ASCENDENTE")</f>
        <v>ASCENDENTE</v>
      </c>
      <c r="E85" s="23" t="str">
        <f ca="1">IFERROR(__xludf.DUMMYFUNCTION("""COMPUTED_VALUE"""),"BITACORA OPERATIVA")</f>
        <v>BITACORA OPERATIVA</v>
      </c>
      <c r="F85" s="23">
        <f ca="1">IFERROR(__xludf.DUMMYFUNCTION("""COMPUTED_VALUE"""),0)</f>
        <v>0</v>
      </c>
      <c r="G85" s="23">
        <f ca="1">IFERROR(__xludf.DUMMYFUNCTION("""COMPUTED_VALUE"""),0)</f>
        <v>0</v>
      </c>
      <c r="H85" s="23">
        <f ca="1">IFERROR(__xludf.DUMMYFUNCTION("""COMPUTED_VALUE"""),0)</f>
        <v>0</v>
      </c>
      <c r="I85" s="23">
        <f ca="1">IFERROR(__xludf.DUMMYFUNCTION("""COMPUTED_VALUE"""),0)</f>
        <v>0</v>
      </c>
      <c r="J85" s="23">
        <f ca="1">IFERROR(__xludf.DUMMYFUNCTION("""COMPUTED_VALUE"""),39)</f>
        <v>39</v>
      </c>
      <c r="K85" s="23">
        <f ca="1">IFERROR(__xludf.DUMMYFUNCTION("""COMPUTED_VALUE"""),25)</f>
        <v>25</v>
      </c>
      <c r="L85" s="23">
        <f ca="1">IFERROR(__xludf.DUMMYFUNCTION("""COMPUTED_VALUE"""),47)</f>
        <v>47</v>
      </c>
      <c r="M85" s="23">
        <f ca="1">IFERROR(__xludf.DUMMYFUNCTION("""COMPUTED_VALUE"""),0)</f>
        <v>0</v>
      </c>
      <c r="N85" s="23">
        <f ca="1">IFERROR(__xludf.DUMMYFUNCTION("""COMPUTED_VALUE"""),0)</f>
        <v>0</v>
      </c>
      <c r="O85" s="23">
        <f ca="1">IFERROR(__xludf.DUMMYFUNCTION("""COMPUTED_VALUE"""),0)</f>
        <v>0</v>
      </c>
      <c r="P85" s="23">
        <f ca="1">IFERROR(__xludf.DUMMYFUNCTION("""COMPUTED_VALUE"""),0)</f>
        <v>0</v>
      </c>
      <c r="Q85" s="23">
        <f ca="1">IFERROR(__xludf.DUMMYFUNCTION("""COMPUTED_VALUE"""),0)</f>
        <v>0</v>
      </c>
      <c r="R85" s="23">
        <f ca="1">IFERROR(__xludf.DUMMYFUNCTION("""COMPUTED_VALUE"""),0)</f>
        <v>0</v>
      </c>
      <c r="S85" s="23">
        <f ca="1">IFERROR(__xludf.DUMMYFUNCTION("""COMPUTED_VALUE"""),111)</f>
        <v>111</v>
      </c>
    </row>
    <row r="86" spans="1:19">
      <c r="A86" s="23" t="str">
        <f ca="1">IFERROR(__xludf.DUMMYFUNCTION("""COMPUTED_VALUE"""),"ANIMALES ATENDIDOS EN CAMPAÑAS DE ESTERILIZACION")</f>
        <v>ANIMALES ATENDIDOS EN CAMPAÑAS DE ESTERILIZACION</v>
      </c>
      <c r="B86" s="23">
        <f ca="1">IFERROR(__xludf.DUMMYFUNCTION("""COMPUTED_VALUE"""),1)</f>
        <v>1</v>
      </c>
      <c r="C86" s="23"/>
      <c r="D86" s="23" t="str">
        <f ca="1">IFERROR(__xludf.DUMMYFUNCTION("""COMPUTED_VALUE"""),"ASCENDENTE")</f>
        <v>ASCENDENTE</v>
      </c>
      <c r="E86" s="23" t="str">
        <f ca="1">IFERROR(__xludf.DUMMYFUNCTION("""COMPUTED_VALUE"""),"BITACORA OPERATIVA")</f>
        <v>BITACORA OPERATIVA</v>
      </c>
      <c r="F86" s="23">
        <f ca="1">IFERROR(__xludf.DUMMYFUNCTION("""COMPUTED_VALUE"""),0)</f>
        <v>0</v>
      </c>
      <c r="G86" s="23">
        <f ca="1">IFERROR(__xludf.DUMMYFUNCTION("""COMPUTED_VALUE"""),0)</f>
        <v>0</v>
      </c>
      <c r="H86" s="23">
        <f ca="1">IFERROR(__xludf.DUMMYFUNCTION("""COMPUTED_VALUE"""),0)</f>
        <v>0</v>
      </c>
      <c r="I86" s="23">
        <f ca="1">IFERROR(__xludf.DUMMYFUNCTION("""COMPUTED_VALUE"""),0)</f>
        <v>0</v>
      </c>
      <c r="J86" s="23">
        <f ca="1">IFERROR(__xludf.DUMMYFUNCTION("""COMPUTED_VALUE"""),1)</f>
        <v>1</v>
      </c>
      <c r="K86" s="23">
        <f ca="1">IFERROR(__xludf.DUMMYFUNCTION("""COMPUTED_VALUE"""),5)</f>
        <v>5</v>
      </c>
      <c r="L86" s="23">
        <f ca="1">IFERROR(__xludf.DUMMYFUNCTION("""COMPUTED_VALUE"""),6)</f>
        <v>6</v>
      </c>
      <c r="M86" s="23">
        <f ca="1">IFERROR(__xludf.DUMMYFUNCTION("""COMPUTED_VALUE"""),0)</f>
        <v>0</v>
      </c>
      <c r="N86" s="23">
        <f ca="1">IFERROR(__xludf.DUMMYFUNCTION("""COMPUTED_VALUE"""),0)</f>
        <v>0</v>
      </c>
      <c r="O86" s="23">
        <f ca="1">IFERROR(__xludf.DUMMYFUNCTION("""COMPUTED_VALUE"""),0)</f>
        <v>0</v>
      </c>
      <c r="P86" s="23">
        <f ca="1">IFERROR(__xludf.DUMMYFUNCTION("""COMPUTED_VALUE"""),0)</f>
        <v>0</v>
      </c>
      <c r="Q86" s="23">
        <f ca="1">IFERROR(__xludf.DUMMYFUNCTION("""COMPUTED_VALUE"""),0)</f>
        <v>0</v>
      </c>
      <c r="R86" s="23">
        <f ca="1">IFERROR(__xludf.DUMMYFUNCTION("""COMPUTED_VALUE"""),0)</f>
        <v>0</v>
      </c>
      <c r="S86" s="23">
        <f ca="1">IFERROR(__xludf.DUMMYFUNCTION("""COMPUTED_VALUE"""),12)</f>
        <v>12</v>
      </c>
    </row>
    <row r="87" spans="1:19">
      <c r="A87" s="23" t="str">
        <f ca="1">IFERROR(__xludf.DUMMYFUNCTION("""COMPUTED_VALUE"""),"ANIMALES VIVOS RECOGIDOS EN VIA PUBLICA")</f>
        <v>ANIMALES VIVOS RECOGIDOS EN VIA PUBLICA</v>
      </c>
      <c r="B87" s="23">
        <f ca="1">IFERROR(__xludf.DUMMYFUNCTION("""COMPUTED_VALUE"""),1)</f>
        <v>1</v>
      </c>
      <c r="C87" s="23"/>
      <c r="D87" s="23" t="str">
        <f ca="1">IFERROR(__xludf.DUMMYFUNCTION("""COMPUTED_VALUE"""),"ASCENDENTE")</f>
        <v>ASCENDENTE</v>
      </c>
      <c r="E87" s="23" t="str">
        <f ca="1">IFERROR(__xludf.DUMMYFUNCTION("""COMPUTED_VALUE"""),"BITACORA OPERATIVA")</f>
        <v>BITACORA OPERATIVA</v>
      </c>
      <c r="F87" s="23">
        <f ca="1">IFERROR(__xludf.DUMMYFUNCTION("""COMPUTED_VALUE"""),0)</f>
        <v>0</v>
      </c>
      <c r="G87" s="23">
        <f ca="1">IFERROR(__xludf.DUMMYFUNCTION("""COMPUTED_VALUE"""),0)</f>
        <v>0</v>
      </c>
      <c r="H87" s="23">
        <f ca="1">IFERROR(__xludf.DUMMYFUNCTION("""COMPUTED_VALUE"""),0)</f>
        <v>0</v>
      </c>
      <c r="I87" s="23">
        <f ca="1">IFERROR(__xludf.DUMMYFUNCTION("""COMPUTED_VALUE"""),0)</f>
        <v>0</v>
      </c>
      <c r="J87" s="23">
        <f ca="1">IFERROR(__xludf.DUMMYFUNCTION("""COMPUTED_VALUE"""),39)</f>
        <v>39</v>
      </c>
      <c r="K87" s="23">
        <f ca="1">IFERROR(__xludf.DUMMYFUNCTION("""COMPUTED_VALUE"""),25)</f>
        <v>25</v>
      </c>
      <c r="L87" s="23">
        <f ca="1">IFERROR(__xludf.DUMMYFUNCTION("""COMPUTED_VALUE"""),47)</f>
        <v>47</v>
      </c>
      <c r="M87" s="23">
        <f ca="1">IFERROR(__xludf.DUMMYFUNCTION("""COMPUTED_VALUE"""),0)</f>
        <v>0</v>
      </c>
      <c r="N87" s="23">
        <f ca="1">IFERROR(__xludf.DUMMYFUNCTION("""COMPUTED_VALUE"""),0)</f>
        <v>0</v>
      </c>
      <c r="O87" s="23">
        <f ca="1">IFERROR(__xludf.DUMMYFUNCTION("""COMPUTED_VALUE"""),0)</f>
        <v>0</v>
      </c>
      <c r="P87" s="23">
        <f ca="1">IFERROR(__xludf.DUMMYFUNCTION("""COMPUTED_VALUE"""),0)</f>
        <v>0</v>
      </c>
      <c r="Q87" s="23">
        <f ca="1">IFERROR(__xludf.DUMMYFUNCTION("""COMPUTED_VALUE"""),0)</f>
        <v>0</v>
      </c>
      <c r="R87" s="23">
        <f ca="1">IFERROR(__xludf.DUMMYFUNCTION("""COMPUTED_VALUE"""),0)</f>
        <v>0</v>
      </c>
      <c r="S87" s="23">
        <f ca="1">IFERROR(__xludf.DUMMYFUNCTION("""COMPUTED_VALUE"""),111)</f>
        <v>111</v>
      </c>
    </row>
    <row r="88" spans="1:19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</row>
    <row r="89" spans="1:19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</row>
    <row r="90" spans="1:19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</row>
    <row r="91" spans="1:19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</row>
    <row r="92" spans="1:19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</row>
    <row r="93" spans="1:19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</row>
    <row r="94" spans="1:19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</row>
    <row r="95" spans="1:19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</row>
    <row r="96" spans="1:19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</row>
    <row r="97" spans="1:19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</row>
    <row r="98" spans="1:19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</row>
    <row r="99" spans="1:19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</row>
    <row r="100" spans="1:19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</row>
    <row r="101" spans="1:19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</row>
    <row r="102" spans="1:19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</row>
    <row r="103" spans="1:19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</row>
    <row r="104" spans="1:19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</row>
    <row r="105" spans="1:19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</row>
    <row r="106" spans="1:19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</row>
    <row r="107" spans="1:19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</row>
    <row r="108" spans="1:19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</row>
    <row r="109" spans="1:19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</row>
    <row r="110" spans="1:19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</row>
    <row r="111" spans="1:19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</row>
    <row r="112" spans="1:19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</row>
    <row r="113" spans="1:19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</row>
    <row r="114" spans="1:19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</row>
    <row r="115" spans="1:19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</row>
    <row r="116" spans="1:19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</row>
    <row r="117" spans="1:19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</row>
    <row r="118" spans="1:19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</row>
    <row r="119" spans="1:19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</row>
    <row r="120" spans="1:19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</row>
    <row r="121" spans="1:19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</row>
    <row r="122" spans="1:19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</row>
    <row r="123" spans="1:19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</row>
    <row r="124" spans="1:19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</row>
    <row r="125" spans="1:19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</row>
    <row r="126" spans="1:19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</row>
    <row r="127" spans="1:19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</row>
    <row r="128" spans="1:19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</row>
    <row r="129" spans="1:19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</row>
    <row r="130" spans="1:19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</row>
    <row r="131" spans="1:19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</row>
    <row r="132" spans="1:19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</row>
    <row r="133" spans="1:19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</row>
    <row r="134" spans="1:19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</row>
    <row r="135" spans="1:19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</row>
    <row r="136" spans="1:19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</row>
    <row r="137" spans="1:19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</row>
    <row r="138" spans="1:19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</row>
    <row r="139" spans="1:19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</row>
    <row r="140" spans="1:19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</row>
    <row r="141" spans="1:19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</row>
    <row r="142" spans="1:19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</row>
    <row r="143" spans="1:19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</row>
    <row r="144" spans="1:19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</row>
    <row r="145" spans="1:19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</row>
    <row r="146" spans="1:19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</row>
    <row r="147" spans="1:19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</row>
    <row r="148" spans="1:19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</row>
    <row r="149" spans="1:19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</row>
    <row r="150" spans="1:19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</row>
    <row r="151" spans="1:19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</row>
    <row r="152" spans="1:19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</row>
    <row r="153" spans="1:19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</row>
    <row r="154" spans="1:19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</row>
    <row r="155" spans="1:19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</row>
    <row r="156" spans="1:19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</row>
    <row r="157" spans="1:19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</row>
    <row r="158" spans="1:19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</row>
    <row r="159" spans="1:19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</row>
    <row r="160" spans="1:19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</row>
    <row r="161" spans="1:19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</row>
    <row r="162" spans="1:19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</row>
    <row r="163" spans="1:19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</row>
    <row r="164" spans="1:19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</row>
    <row r="165" spans="1:19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</row>
    <row r="166" spans="1:19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</row>
    <row r="167" spans="1:19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</row>
    <row r="168" spans="1:19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</row>
    <row r="169" spans="1:19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</row>
    <row r="170" spans="1:19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</row>
    <row r="171" spans="1:19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</row>
    <row r="172" spans="1:19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</row>
    <row r="173" spans="1:19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</row>
    <row r="174" spans="1:19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</row>
    <row r="175" spans="1:19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</row>
    <row r="176" spans="1:19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</row>
    <row r="177" spans="1:19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</row>
    <row r="178" spans="1:19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</row>
    <row r="179" spans="1:19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</row>
    <row r="180" spans="1:19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</row>
    <row r="181" spans="1:19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</row>
    <row r="182" spans="1:19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</row>
    <row r="183" spans="1:19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</row>
    <row r="184" spans="1:19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</row>
    <row r="185" spans="1:19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</row>
    <row r="186" spans="1:19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</row>
    <row r="187" spans="1:19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</row>
    <row r="188" spans="1:19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</row>
    <row r="189" spans="1:19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</row>
    <row r="190" spans="1:19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</row>
    <row r="191" spans="1:19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</row>
    <row r="192" spans="1:19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</row>
    <row r="193" spans="1:19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</row>
    <row r="194" spans="1:19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</row>
    <row r="195" spans="1:19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</row>
    <row r="196" spans="1:19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</row>
    <row r="197" spans="1:19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</row>
    <row r="198" spans="1:19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</row>
    <row r="199" spans="1:19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</row>
    <row r="200" spans="1:19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</row>
    <row r="201" spans="1:19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</row>
    <row r="202" spans="1:19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</row>
    <row r="203" spans="1:19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</row>
    <row r="204" spans="1:19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</row>
    <row r="205" spans="1:19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</row>
    <row r="206" spans="1:19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</row>
    <row r="207" spans="1:19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</row>
    <row r="208" spans="1:19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</row>
    <row r="209" spans="1:19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</row>
    <row r="210" spans="1:19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</row>
    <row r="211" spans="1:19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</row>
    <row r="212" spans="1:19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</row>
    <row r="213" spans="1:19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</row>
    <row r="214" spans="1:19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</row>
    <row r="215" spans="1:19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</row>
    <row r="216" spans="1:19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</row>
    <row r="217" spans="1:19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</row>
    <row r="218" spans="1:19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</row>
    <row r="219" spans="1:19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</row>
    <row r="220" spans="1:19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</row>
    <row r="221" spans="1:19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</row>
    <row r="222" spans="1:19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</row>
    <row r="223" spans="1:19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</row>
    <row r="224" spans="1:19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</row>
    <row r="225" spans="1:19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</row>
    <row r="226" spans="1:19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</row>
    <row r="227" spans="1:19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</row>
    <row r="228" spans="1:19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</row>
    <row r="229" spans="1:19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</row>
    <row r="230" spans="1:19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</row>
    <row r="231" spans="1:19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</row>
    <row r="232" spans="1:19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</row>
    <row r="233" spans="1:19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</row>
    <row r="234" spans="1:19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</row>
    <row r="235" spans="1:19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</row>
    <row r="236" spans="1:19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</row>
    <row r="237" spans="1:19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</row>
    <row r="238" spans="1:19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</row>
    <row r="239" spans="1:19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</row>
    <row r="240" spans="1:19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</row>
    <row r="241" spans="1:19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</row>
    <row r="242" spans="1:19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</row>
    <row r="243" spans="1:19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</row>
    <row r="244" spans="1:19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</row>
    <row r="245" spans="1:19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</row>
    <row r="246" spans="1:19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</row>
    <row r="247" spans="1:19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</row>
    <row r="248" spans="1:19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</row>
    <row r="249" spans="1:19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</row>
    <row r="250" spans="1:19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</row>
    <row r="251" spans="1:19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</row>
    <row r="252" spans="1:19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</row>
    <row r="253" spans="1:19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</row>
    <row r="254" spans="1:19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</row>
    <row r="255" spans="1:19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</row>
    <row r="256" spans="1:19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</row>
    <row r="257" spans="1:19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</row>
    <row r="258" spans="1:19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</row>
    <row r="259" spans="1:19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</row>
    <row r="260" spans="1:19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</row>
    <row r="261" spans="1:19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</row>
    <row r="262" spans="1:19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</row>
    <row r="263" spans="1:19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</row>
    <row r="264" spans="1:19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</row>
    <row r="265" spans="1:19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</row>
    <row r="266" spans="1:19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</row>
    <row r="267" spans="1:19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</row>
    <row r="268" spans="1:19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</row>
    <row r="269" spans="1:19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</row>
    <row r="270" spans="1:19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</row>
    <row r="271" spans="1:19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</row>
    <row r="272" spans="1:19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</row>
    <row r="273" spans="1:19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</row>
    <row r="274" spans="1:19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</row>
    <row r="275" spans="1:19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</row>
    <row r="276" spans="1:19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</row>
    <row r="277" spans="1:19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</row>
    <row r="278" spans="1:19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</row>
    <row r="279" spans="1:19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</row>
    <row r="280" spans="1:19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</row>
    <row r="281" spans="1:19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</row>
    <row r="282" spans="1:19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</row>
    <row r="283" spans="1:19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</row>
    <row r="284" spans="1:19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</row>
    <row r="285" spans="1:19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</row>
    <row r="286" spans="1:19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</row>
    <row r="287" spans="1:19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</row>
    <row r="288" spans="1:19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</row>
    <row r="289" spans="1:19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</row>
    <row r="290" spans="1:19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</row>
    <row r="291" spans="1:19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</row>
    <row r="292" spans="1:19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</row>
    <row r="293" spans="1:19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</row>
    <row r="294" spans="1:19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</row>
    <row r="295" spans="1:19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</row>
    <row r="296" spans="1:19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</row>
    <row r="297" spans="1:19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</row>
    <row r="298" spans="1:19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</row>
    <row r="299" spans="1:19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</row>
    <row r="300" spans="1:19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</row>
    <row r="301" spans="1:19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</row>
    <row r="302" spans="1:19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</row>
    <row r="303" spans="1:19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</row>
    <row r="304" spans="1:19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</row>
    <row r="305" spans="1:19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</row>
    <row r="306" spans="1:19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</row>
    <row r="307" spans="1:19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</row>
    <row r="308" spans="1:19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</row>
    <row r="309" spans="1:19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</row>
    <row r="310" spans="1:19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</row>
    <row r="311" spans="1:19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</row>
    <row r="312" spans="1:19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</row>
    <row r="313" spans="1:19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</row>
    <row r="314" spans="1:19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</row>
    <row r="315" spans="1:19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</row>
    <row r="316" spans="1:19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</row>
    <row r="317" spans="1:19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</row>
    <row r="318" spans="1:19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</row>
    <row r="319" spans="1:19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</row>
    <row r="320" spans="1:19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</row>
    <row r="321" spans="1:19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</row>
    <row r="322" spans="1:19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</row>
    <row r="323" spans="1:19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</row>
    <row r="324" spans="1:19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</row>
    <row r="325" spans="1:19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</row>
    <row r="326" spans="1:19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</row>
    <row r="327" spans="1:19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</row>
    <row r="328" spans="1:19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</row>
    <row r="329" spans="1:19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</row>
    <row r="330" spans="1:19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</row>
    <row r="331" spans="1:19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</row>
    <row r="332" spans="1:19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</row>
    <row r="333" spans="1:19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</row>
    <row r="334" spans="1:19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</row>
    <row r="335" spans="1:19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</row>
    <row r="336" spans="1:19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</row>
    <row r="337" spans="1:19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</row>
    <row r="338" spans="1:19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</row>
    <row r="339" spans="1:19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</row>
    <row r="340" spans="1:19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</row>
    <row r="341" spans="1:19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</row>
    <row r="342" spans="1:19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</row>
    <row r="343" spans="1:19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</row>
    <row r="344" spans="1:19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</row>
    <row r="345" spans="1:19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</row>
    <row r="346" spans="1:19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</row>
    <row r="347" spans="1:19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</row>
    <row r="348" spans="1:19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</row>
    <row r="349" spans="1:19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</row>
    <row r="350" spans="1:19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</row>
    <row r="351" spans="1:19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</row>
    <row r="352" spans="1:19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</row>
    <row r="353" spans="1:19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</row>
    <row r="354" spans="1:19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</row>
    <row r="355" spans="1:19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</row>
    <row r="356" spans="1:19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</row>
    <row r="357" spans="1:19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</row>
    <row r="358" spans="1:19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</row>
    <row r="359" spans="1:19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</row>
    <row r="360" spans="1:19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</row>
    <row r="361" spans="1:19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</row>
    <row r="362" spans="1:19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</row>
    <row r="363" spans="1:19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</row>
    <row r="364" spans="1:19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</row>
    <row r="365" spans="1:19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</row>
    <row r="366" spans="1:19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</row>
    <row r="367" spans="1:19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</row>
    <row r="368" spans="1:19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</row>
    <row r="369" spans="1:19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</row>
    <row r="370" spans="1:19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</row>
    <row r="371" spans="1:19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</row>
    <row r="372" spans="1:19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</row>
    <row r="373" spans="1:19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</row>
    <row r="374" spans="1:19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</row>
    <row r="375" spans="1:19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</row>
    <row r="376" spans="1:19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</row>
    <row r="377" spans="1:19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</row>
    <row r="378" spans="1:19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</row>
    <row r="379" spans="1:19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</row>
    <row r="380" spans="1:19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</row>
    <row r="381" spans="1:19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</row>
    <row r="382" spans="1:19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</row>
    <row r="383" spans="1:19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</row>
    <row r="384" spans="1:19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</row>
    <row r="385" spans="1:19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</row>
    <row r="386" spans="1:19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</row>
    <row r="387" spans="1:19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</row>
    <row r="388" spans="1:19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</row>
    <row r="389" spans="1:19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</row>
    <row r="390" spans="1:19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</row>
    <row r="391" spans="1:19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</row>
    <row r="392" spans="1:19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</row>
    <row r="393" spans="1:19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</row>
    <row r="394" spans="1:19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</row>
    <row r="395" spans="1:19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</row>
    <row r="396" spans="1:19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</row>
    <row r="397" spans="1:19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</row>
    <row r="398" spans="1:19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</row>
    <row r="399" spans="1:19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</row>
    <row r="400" spans="1:19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</row>
    <row r="401" spans="1:19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</row>
    <row r="402" spans="1:19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</row>
    <row r="403" spans="1:19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</row>
    <row r="404" spans="1:19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</row>
    <row r="405" spans="1:19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</row>
    <row r="406" spans="1:19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</row>
    <row r="407" spans="1:19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</row>
    <row r="408" spans="1:19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</row>
    <row r="409" spans="1:19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</row>
    <row r="410" spans="1:19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</row>
    <row r="411" spans="1:19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</row>
    <row r="412" spans="1:19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</row>
    <row r="413" spans="1:19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</row>
    <row r="414" spans="1:19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</row>
    <row r="415" spans="1:19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</row>
    <row r="416" spans="1:19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</row>
    <row r="417" spans="1:19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</row>
    <row r="418" spans="1:19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</row>
    <row r="419" spans="1:19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</row>
    <row r="420" spans="1:19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</row>
    <row r="421" spans="1:19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</row>
    <row r="422" spans="1:19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</row>
    <row r="423" spans="1:19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</row>
    <row r="424" spans="1:19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</row>
    <row r="425" spans="1:19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</row>
    <row r="426" spans="1:19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</row>
    <row r="427" spans="1:19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</row>
    <row r="428" spans="1:19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</row>
    <row r="429" spans="1:19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</row>
    <row r="430" spans="1:19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</row>
    <row r="431" spans="1:19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</row>
    <row r="432" spans="1:19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</row>
    <row r="433" spans="1:19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</row>
    <row r="434" spans="1:19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</row>
    <row r="435" spans="1:19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</row>
    <row r="436" spans="1:19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</row>
    <row r="437" spans="1:19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</row>
    <row r="438" spans="1:19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</row>
    <row r="439" spans="1:19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</row>
    <row r="440" spans="1:19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</row>
    <row r="441" spans="1:19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</row>
    <row r="442" spans="1:19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</row>
    <row r="443" spans="1:19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</row>
    <row r="444" spans="1:19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</row>
    <row r="445" spans="1:19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</row>
    <row r="446" spans="1:19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</row>
    <row r="447" spans="1:19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</row>
    <row r="448" spans="1:19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</row>
    <row r="449" spans="1:19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</row>
    <row r="450" spans="1:19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</row>
    <row r="451" spans="1:19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</row>
    <row r="452" spans="1:19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</row>
    <row r="453" spans="1:19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</row>
    <row r="454" spans="1:19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</row>
    <row r="455" spans="1:19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</row>
    <row r="456" spans="1:19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</row>
    <row r="457" spans="1:19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</row>
    <row r="458" spans="1:19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</row>
    <row r="459" spans="1:19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</row>
    <row r="460" spans="1:19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</row>
    <row r="461" spans="1:19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</row>
    <row r="462" spans="1:19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</row>
    <row r="463" spans="1:19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</row>
    <row r="464" spans="1:19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</row>
    <row r="465" spans="1:19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</row>
    <row r="466" spans="1:19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</row>
    <row r="467" spans="1:19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</row>
    <row r="468" spans="1:19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</row>
    <row r="469" spans="1:19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</row>
    <row r="470" spans="1:19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</row>
    <row r="471" spans="1:19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</row>
    <row r="472" spans="1:19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</row>
    <row r="473" spans="1:19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</row>
    <row r="474" spans="1:19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</row>
    <row r="475" spans="1:19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</row>
    <row r="476" spans="1:19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</row>
    <row r="477" spans="1:19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</row>
    <row r="478" spans="1:19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</row>
    <row r="479" spans="1:19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</row>
    <row r="480" spans="1:19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</row>
    <row r="481" spans="1:19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</row>
    <row r="482" spans="1:19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</row>
    <row r="483" spans="1:19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</row>
    <row r="484" spans="1:19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</row>
    <row r="485" spans="1:19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</row>
    <row r="486" spans="1:19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</row>
    <row r="487" spans="1:19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</row>
    <row r="488" spans="1:19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</row>
    <row r="489" spans="1:19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</row>
    <row r="490" spans="1:19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</row>
    <row r="491" spans="1:19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</row>
    <row r="492" spans="1:19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</row>
    <row r="493" spans="1:19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</row>
    <row r="494" spans="1:19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</row>
    <row r="495" spans="1:19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</row>
    <row r="496" spans="1:19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</row>
    <row r="497" spans="1:19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</row>
    <row r="498" spans="1:19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</row>
    <row r="499" spans="1:19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</row>
    <row r="500" spans="1:19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</row>
    <row r="501" spans="1:19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</row>
    <row r="502" spans="1:19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</row>
    <row r="503" spans="1:19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</row>
    <row r="504" spans="1:19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</row>
    <row r="505" spans="1:19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</row>
    <row r="506" spans="1:19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</row>
    <row r="507" spans="1:19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</row>
    <row r="508" spans="1:19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</row>
    <row r="509" spans="1:19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</row>
    <row r="510" spans="1:19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</row>
    <row r="511" spans="1:19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</row>
    <row r="512" spans="1:19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</row>
    <row r="513" spans="1:19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</row>
    <row r="514" spans="1:19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</row>
    <row r="515" spans="1:19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</row>
    <row r="516" spans="1:19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</row>
    <row r="517" spans="1:19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</row>
    <row r="518" spans="1:19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</row>
    <row r="519" spans="1:19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</row>
    <row r="520" spans="1:19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</row>
    <row r="521" spans="1:19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</row>
    <row r="522" spans="1:19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</row>
    <row r="523" spans="1:19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</row>
    <row r="524" spans="1:19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</row>
    <row r="525" spans="1:19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</row>
    <row r="526" spans="1:19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</row>
    <row r="527" spans="1:19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</row>
    <row r="528" spans="1:19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</row>
    <row r="529" spans="1:19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</row>
    <row r="530" spans="1:19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</row>
    <row r="531" spans="1:19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</row>
    <row r="532" spans="1:19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</row>
    <row r="533" spans="1:19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</row>
    <row r="534" spans="1:19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</row>
    <row r="535" spans="1:19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</row>
    <row r="536" spans="1:19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</row>
    <row r="537" spans="1:19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</row>
    <row r="538" spans="1:19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</row>
    <row r="539" spans="1:19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</row>
    <row r="540" spans="1:19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</row>
    <row r="541" spans="1:19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</row>
    <row r="542" spans="1:19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</row>
    <row r="543" spans="1:19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</row>
    <row r="544" spans="1:19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</row>
    <row r="545" spans="1:19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</row>
    <row r="546" spans="1:19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</row>
    <row r="547" spans="1:19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</row>
    <row r="548" spans="1:19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</row>
    <row r="549" spans="1:19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</row>
    <row r="550" spans="1:19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</row>
    <row r="551" spans="1:19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</row>
    <row r="552" spans="1:19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</row>
    <row r="553" spans="1:19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</row>
    <row r="554" spans="1:19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</row>
    <row r="555" spans="1:19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</row>
    <row r="556" spans="1:19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</row>
    <row r="557" spans="1:19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</row>
    <row r="558" spans="1:19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</row>
    <row r="559" spans="1:19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</row>
    <row r="560" spans="1:19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</row>
    <row r="561" spans="1:19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</row>
    <row r="562" spans="1:19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</row>
    <row r="563" spans="1:19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</row>
    <row r="564" spans="1:19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</row>
    <row r="565" spans="1:19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</row>
    <row r="566" spans="1:19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</row>
    <row r="567" spans="1:19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</row>
    <row r="568" spans="1:19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</row>
    <row r="569" spans="1:19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</row>
    <row r="570" spans="1:19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</row>
    <row r="571" spans="1:19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</row>
    <row r="572" spans="1:19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</row>
    <row r="573" spans="1:19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</row>
    <row r="574" spans="1:19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</row>
    <row r="575" spans="1:19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</row>
    <row r="576" spans="1:19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</row>
    <row r="577" spans="1:19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</row>
    <row r="578" spans="1:19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</row>
    <row r="579" spans="1:19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</row>
    <row r="580" spans="1:19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</row>
    <row r="581" spans="1:19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</row>
    <row r="582" spans="1:19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</row>
    <row r="583" spans="1:19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</row>
    <row r="584" spans="1:19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</row>
    <row r="585" spans="1:19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</row>
    <row r="586" spans="1:19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</row>
    <row r="587" spans="1:19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</row>
    <row r="588" spans="1:19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</row>
    <row r="589" spans="1:19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</row>
    <row r="590" spans="1:19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</row>
    <row r="591" spans="1:19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</row>
    <row r="592" spans="1:19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</row>
    <row r="593" spans="1:19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</row>
    <row r="594" spans="1:19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</row>
    <row r="595" spans="1:19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</row>
    <row r="596" spans="1:19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</row>
    <row r="597" spans="1:19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</row>
    <row r="598" spans="1:19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</row>
    <row r="599" spans="1:19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</row>
    <row r="600" spans="1:19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</row>
    <row r="601" spans="1:19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</row>
    <row r="602" spans="1:19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</row>
    <row r="603" spans="1:19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</row>
    <row r="604" spans="1:19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</row>
    <row r="605" spans="1:19">
      <c r="A605" s="23"/>
      <c r="B605" s="23"/>
      <c r="C605" s="23"/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</row>
    <row r="606" spans="1:19">
      <c r="A606" s="23"/>
      <c r="B606" s="23"/>
      <c r="C606" s="23"/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</row>
    <row r="607" spans="1:19">
      <c r="A607" s="23"/>
      <c r="B607" s="23"/>
      <c r="C607" s="23"/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</row>
    <row r="608" spans="1:19">
      <c r="A608" s="23"/>
      <c r="B608" s="23"/>
      <c r="C608" s="23"/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</row>
    <row r="609" spans="1:19">
      <c r="A609" s="23"/>
      <c r="B609" s="23"/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</row>
    <row r="610" spans="1:19">
      <c r="A610" s="23"/>
      <c r="B610" s="23"/>
      <c r="C610" s="23"/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</row>
    <row r="611" spans="1:19">
      <c r="A611" s="23"/>
      <c r="B611" s="23"/>
      <c r="C611" s="23"/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</row>
    <row r="612" spans="1:19">
      <c r="A612" s="23"/>
      <c r="B612" s="23"/>
      <c r="C612" s="23"/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</row>
    <row r="613" spans="1:19">
      <c r="A613" s="23"/>
      <c r="B613" s="23"/>
      <c r="C613" s="23"/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</row>
    <row r="614" spans="1:19">
      <c r="A614" s="23"/>
      <c r="B614" s="23"/>
      <c r="C614" s="23"/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</row>
    <row r="615" spans="1:19">
      <c r="A615" s="23"/>
      <c r="B615" s="23"/>
      <c r="C615" s="23"/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</row>
    <row r="616" spans="1:19">
      <c r="A616" s="23"/>
      <c r="B616" s="23"/>
      <c r="C616" s="23"/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</row>
    <row r="617" spans="1:19">
      <c r="A617" s="23"/>
      <c r="B617" s="23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</row>
    <row r="618" spans="1:19">
      <c r="A618" s="23"/>
      <c r="B618" s="23"/>
      <c r="C618" s="23"/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</row>
    <row r="619" spans="1:19">
      <c r="A619" s="23"/>
      <c r="B619" s="23"/>
      <c r="C619" s="23"/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</row>
    <row r="620" spans="1:19">
      <c r="A620" s="23"/>
      <c r="B620" s="23"/>
      <c r="C620" s="23"/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</row>
    <row r="621" spans="1:19">
      <c r="A621" s="23"/>
      <c r="B621" s="23"/>
      <c r="C621" s="23"/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</row>
    <row r="622" spans="1:19">
      <c r="A622" s="23"/>
      <c r="B622" s="23"/>
      <c r="C622" s="23"/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</row>
    <row r="623" spans="1:19">
      <c r="A623" s="23"/>
      <c r="B623" s="23"/>
      <c r="C623" s="23"/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</row>
    <row r="624" spans="1:19">
      <c r="A624" s="23"/>
      <c r="B624" s="23"/>
      <c r="C624" s="23"/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</row>
    <row r="625" spans="1:19">
      <c r="A625" s="23"/>
      <c r="B625" s="23"/>
      <c r="C625" s="23"/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</row>
    <row r="626" spans="1:19">
      <c r="A626" s="23"/>
      <c r="B626" s="23"/>
      <c r="C626" s="23"/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</row>
    <row r="627" spans="1:19">
      <c r="A627" s="23"/>
      <c r="B627" s="23"/>
      <c r="C627" s="23"/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</row>
    <row r="628" spans="1:19">
      <c r="A628" s="23"/>
      <c r="B628" s="23"/>
      <c r="C628" s="23"/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</row>
    <row r="629" spans="1:19">
      <c r="A629" s="23"/>
      <c r="B629" s="23"/>
      <c r="C629" s="23"/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</row>
    <row r="630" spans="1:19">
      <c r="A630" s="23"/>
      <c r="B630" s="23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</row>
    <row r="631" spans="1:19">
      <c r="A631" s="23"/>
      <c r="B631" s="23"/>
      <c r="C631" s="23"/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</row>
    <row r="632" spans="1:19">
      <c r="A632" s="23"/>
      <c r="B632" s="23"/>
      <c r="C632" s="23"/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</row>
    <row r="633" spans="1:19">
      <c r="A633" s="23"/>
      <c r="B633" s="23"/>
      <c r="C633" s="23"/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</row>
    <row r="634" spans="1:19">
      <c r="A634" s="23"/>
      <c r="B634" s="23"/>
      <c r="C634" s="23"/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</row>
    <row r="635" spans="1:19">
      <c r="A635" s="23"/>
      <c r="B635" s="23"/>
      <c r="C635" s="23"/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</row>
    <row r="636" spans="1:19">
      <c r="A636" s="23"/>
      <c r="B636" s="23"/>
      <c r="C636" s="23"/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</row>
    <row r="637" spans="1:19">
      <c r="A637" s="23"/>
      <c r="B637" s="23"/>
      <c r="C637" s="23"/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</row>
    <row r="638" spans="1:19">
      <c r="A638" s="23"/>
      <c r="B638" s="23"/>
      <c r="C638" s="23"/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</row>
    <row r="639" spans="1:19">
      <c r="A639" s="23"/>
      <c r="B639" s="23"/>
      <c r="C639" s="23"/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</row>
    <row r="640" spans="1:19">
      <c r="A640" s="23"/>
      <c r="B640" s="23"/>
      <c r="C640" s="23"/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</row>
    <row r="641" spans="1:19">
      <c r="A641" s="23"/>
      <c r="B641" s="23"/>
      <c r="C641" s="23"/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</row>
    <row r="642" spans="1:19">
      <c r="A642" s="23"/>
      <c r="B642" s="23"/>
      <c r="C642" s="23"/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</row>
    <row r="643" spans="1:19">
      <c r="A643" s="23"/>
      <c r="B643" s="23"/>
      <c r="C643" s="23"/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</row>
    <row r="644" spans="1:19">
      <c r="A644" s="23"/>
      <c r="B644" s="23"/>
      <c r="C644" s="23"/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</row>
    <row r="645" spans="1:19">
      <c r="A645" s="23"/>
      <c r="B645" s="23"/>
      <c r="C645" s="23"/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</row>
    <row r="646" spans="1:19">
      <c r="A646" s="23"/>
      <c r="B646" s="23"/>
      <c r="C646" s="23"/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</row>
    <row r="647" spans="1:19">
      <c r="A647" s="23"/>
      <c r="B647" s="23"/>
      <c r="C647" s="23"/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</row>
    <row r="648" spans="1:19">
      <c r="A648" s="23"/>
      <c r="B648" s="23"/>
      <c r="C648" s="23"/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</row>
    <row r="649" spans="1:19">
      <c r="A649" s="23"/>
      <c r="B649" s="23"/>
      <c r="C649" s="23"/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</row>
    <row r="650" spans="1:19">
      <c r="A650" s="23"/>
      <c r="B650" s="23"/>
      <c r="C650" s="23"/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</row>
    <row r="651" spans="1:19">
      <c r="A651" s="23"/>
      <c r="B651" s="23"/>
      <c r="C651" s="23"/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</row>
    <row r="652" spans="1:19">
      <c r="A652" s="23"/>
      <c r="B652" s="23"/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</row>
    <row r="653" spans="1:19">
      <c r="A653" s="23"/>
      <c r="B653" s="23"/>
      <c r="C653" s="23"/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</row>
    <row r="654" spans="1:19">
      <c r="A654" s="23"/>
      <c r="B654" s="23"/>
      <c r="C654" s="23"/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</row>
    <row r="655" spans="1:19">
      <c r="A655" s="23"/>
      <c r="B655" s="23"/>
      <c r="C655" s="23"/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</row>
    <row r="656" spans="1:19">
      <c r="A656" s="23"/>
      <c r="B656" s="23"/>
      <c r="C656" s="23"/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</row>
    <row r="657" spans="1:19">
      <c r="A657" s="23"/>
      <c r="B657" s="23"/>
      <c r="C657" s="23"/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</row>
    <row r="658" spans="1:19">
      <c r="A658" s="23"/>
      <c r="B658" s="23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</row>
    <row r="659" spans="1:19">
      <c r="A659" s="23"/>
      <c r="B659" s="23"/>
      <c r="C659" s="23"/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</row>
    <row r="660" spans="1:19">
      <c r="A660" s="23"/>
      <c r="B660" s="23"/>
      <c r="C660" s="23"/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</row>
    <row r="661" spans="1:19">
      <c r="A661" s="23"/>
      <c r="B661" s="23"/>
      <c r="C661" s="23"/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</row>
    <row r="662" spans="1:19">
      <c r="A662" s="23"/>
      <c r="B662" s="23"/>
      <c r="C662" s="23"/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</row>
    <row r="663" spans="1:19">
      <c r="A663" s="23"/>
      <c r="B663" s="23"/>
      <c r="C663" s="23"/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</row>
    <row r="664" spans="1:19">
      <c r="A664" s="23"/>
      <c r="B664" s="23"/>
      <c r="C664" s="23"/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</row>
    <row r="665" spans="1:19">
      <c r="A665" s="23"/>
      <c r="B665" s="23"/>
      <c r="C665" s="23"/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</row>
    <row r="666" spans="1:19">
      <c r="A666" s="23"/>
      <c r="B666" s="23"/>
      <c r="C666" s="23"/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</row>
    <row r="667" spans="1:19">
      <c r="A667" s="23"/>
      <c r="B667" s="23"/>
      <c r="C667" s="23"/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</row>
    <row r="668" spans="1:19">
      <c r="A668" s="23"/>
      <c r="B668" s="23"/>
      <c r="C668" s="23"/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</row>
    <row r="669" spans="1:19">
      <c r="A669" s="23"/>
      <c r="B669" s="23"/>
      <c r="C669" s="23"/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</row>
    <row r="670" spans="1:19">
      <c r="A670" s="23"/>
      <c r="B670" s="23"/>
      <c r="C670" s="23"/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</row>
    <row r="671" spans="1:19">
      <c r="A671" s="23"/>
      <c r="B671" s="23"/>
      <c r="C671" s="23"/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</row>
    <row r="672" spans="1:19">
      <c r="A672" s="23"/>
      <c r="B672" s="23"/>
      <c r="C672" s="23"/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</row>
    <row r="673" spans="1:19">
      <c r="A673" s="23"/>
      <c r="B673" s="23"/>
      <c r="C673" s="23"/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</row>
    <row r="674" spans="1:19">
      <c r="A674" s="23"/>
      <c r="B674" s="23"/>
      <c r="C674" s="23"/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</row>
    <row r="675" spans="1:19">
      <c r="A675" s="23"/>
      <c r="B675" s="23"/>
      <c r="C675" s="23"/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</row>
    <row r="676" spans="1:19">
      <c r="A676" s="23"/>
      <c r="B676" s="23"/>
      <c r="C676" s="23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</row>
    <row r="677" spans="1:19">
      <c r="A677" s="23"/>
      <c r="B677" s="23"/>
      <c r="C677" s="23"/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</row>
    <row r="678" spans="1:19">
      <c r="A678" s="23"/>
      <c r="B678" s="23"/>
      <c r="C678" s="23"/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</row>
    <row r="679" spans="1:19">
      <c r="A679" s="23"/>
      <c r="B679" s="23"/>
      <c r="C679" s="23"/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</row>
    <row r="680" spans="1:19">
      <c r="A680" s="23"/>
      <c r="B680" s="23"/>
      <c r="C680" s="23"/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</row>
    <row r="681" spans="1:19">
      <c r="A681" s="23"/>
      <c r="B681" s="23"/>
      <c r="C681" s="23"/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</row>
    <row r="682" spans="1:19">
      <c r="A682" s="23"/>
      <c r="B682" s="23"/>
      <c r="C682" s="23"/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</row>
    <row r="683" spans="1:19">
      <c r="A683" s="23"/>
      <c r="B683" s="23"/>
      <c r="C683" s="23"/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</row>
    <row r="684" spans="1:19">
      <c r="A684" s="23"/>
      <c r="B684" s="23"/>
      <c r="C684" s="23"/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</row>
    <row r="685" spans="1:19">
      <c r="A685" s="23"/>
      <c r="B685" s="23"/>
      <c r="C685" s="23"/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</row>
    <row r="686" spans="1:19">
      <c r="A686" s="23"/>
      <c r="B686" s="23"/>
      <c r="C686" s="23"/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</row>
    <row r="687" spans="1:19">
      <c r="A687" s="23"/>
      <c r="B687" s="23"/>
      <c r="C687" s="23"/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</row>
    <row r="688" spans="1:19">
      <c r="A688" s="23"/>
      <c r="B688" s="23"/>
      <c r="C688" s="23"/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</row>
    <row r="689" spans="1:19">
      <c r="A689" s="23"/>
      <c r="B689" s="23"/>
      <c r="C689" s="23"/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</row>
    <row r="690" spans="1:19">
      <c r="A690" s="23"/>
      <c r="B690" s="23"/>
      <c r="C690" s="23"/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</row>
    <row r="691" spans="1:19">
      <c r="A691" s="23"/>
      <c r="B691" s="23"/>
      <c r="C691" s="23"/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</row>
    <row r="692" spans="1:19">
      <c r="A692" s="23"/>
      <c r="B692" s="23"/>
      <c r="C692" s="23"/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</row>
    <row r="693" spans="1:19">
      <c r="A693" s="23"/>
      <c r="B693" s="23"/>
      <c r="C693" s="23"/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</row>
    <row r="694" spans="1:19">
      <c r="A694" s="23"/>
      <c r="B694" s="23"/>
      <c r="C694" s="23"/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</row>
    <row r="695" spans="1:19">
      <c r="A695" s="23"/>
      <c r="B695" s="23"/>
      <c r="C695" s="23"/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</row>
    <row r="696" spans="1:19">
      <c r="A696" s="23"/>
      <c r="B696" s="23"/>
      <c r="C696" s="23"/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</row>
    <row r="697" spans="1:19">
      <c r="A697" s="23"/>
      <c r="B697" s="23"/>
      <c r="C697" s="23"/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</row>
    <row r="698" spans="1:19">
      <c r="A698" s="23"/>
      <c r="B698" s="23"/>
      <c r="C698" s="23"/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</row>
    <row r="699" spans="1:19">
      <c r="A699" s="23"/>
      <c r="B699" s="23"/>
      <c r="C699" s="23"/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</row>
    <row r="700" spans="1:19">
      <c r="A700" s="23"/>
      <c r="B700" s="23"/>
      <c r="C700" s="23"/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</row>
    <row r="701" spans="1:19">
      <c r="A701" s="23"/>
      <c r="B701" s="23"/>
      <c r="C701" s="23"/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</row>
    <row r="702" spans="1:19">
      <c r="A702" s="23"/>
      <c r="B702" s="23"/>
      <c r="C702" s="23"/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</row>
    <row r="703" spans="1:19">
      <c r="A703" s="23"/>
      <c r="B703" s="23"/>
      <c r="C703" s="23"/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</row>
    <row r="704" spans="1:19">
      <c r="A704" s="23"/>
      <c r="B704" s="23"/>
      <c r="C704" s="23"/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</row>
    <row r="705" spans="1:19">
      <c r="A705" s="23"/>
      <c r="B705" s="23"/>
      <c r="C705" s="23"/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</row>
    <row r="706" spans="1:19">
      <c r="A706" s="23"/>
      <c r="B706" s="23"/>
      <c r="C706" s="23"/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</row>
    <row r="707" spans="1:19">
      <c r="A707" s="23"/>
      <c r="B707" s="23"/>
      <c r="C707" s="23"/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</row>
    <row r="708" spans="1:19">
      <c r="A708" s="23"/>
      <c r="B708" s="23"/>
      <c r="C708" s="23"/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</row>
    <row r="709" spans="1:19">
      <c r="A709" s="23"/>
      <c r="B709" s="23"/>
      <c r="C709" s="23"/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</row>
    <row r="710" spans="1:19">
      <c r="A710" s="23"/>
      <c r="B710" s="23"/>
      <c r="C710" s="23"/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</row>
    <row r="711" spans="1:19">
      <c r="A711" s="23"/>
      <c r="B711" s="23"/>
      <c r="C711" s="23"/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</row>
    <row r="712" spans="1:19">
      <c r="A712" s="23"/>
      <c r="B712" s="23"/>
      <c r="C712" s="23"/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</row>
    <row r="713" spans="1:19">
      <c r="A713" s="23"/>
      <c r="B713" s="23"/>
      <c r="C713" s="23"/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</row>
    <row r="714" spans="1:19">
      <c r="A714" s="23"/>
      <c r="B714" s="23"/>
      <c r="C714" s="23"/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</row>
    <row r="715" spans="1:19">
      <c r="A715" s="23"/>
      <c r="B715" s="23"/>
      <c r="C715" s="23"/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</row>
    <row r="716" spans="1:19">
      <c r="A716" s="23"/>
      <c r="B716" s="23"/>
      <c r="C716" s="23"/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</row>
    <row r="717" spans="1:19">
      <c r="A717" s="23"/>
      <c r="B717" s="23"/>
      <c r="C717" s="23"/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</row>
    <row r="718" spans="1:19">
      <c r="A718" s="23"/>
      <c r="B718" s="23"/>
      <c r="C718" s="23"/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</row>
    <row r="719" spans="1:19">
      <c r="A719" s="23"/>
      <c r="B719" s="23"/>
      <c r="C719" s="23"/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</row>
    <row r="720" spans="1:19">
      <c r="A720" s="23"/>
      <c r="B720" s="23"/>
      <c r="C720" s="23"/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</row>
    <row r="721" spans="1:19">
      <c r="A721" s="23"/>
      <c r="B721" s="23"/>
      <c r="C721" s="23"/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</row>
    <row r="722" spans="1:19">
      <c r="A722" s="23"/>
      <c r="B722" s="23"/>
      <c r="C722" s="23"/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</row>
    <row r="723" spans="1:19">
      <c r="A723" s="23"/>
      <c r="B723" s="23"/>
      <c r="C723" s="23"/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</row>
    <row r="724" spans="1:19">
      <c r="A724" s="23"/>
      <c r="B724" s="23"/>
      <c r="C724" s="23"/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</row>
    <row r="725" spans="1:19">
      <c r="A725" s="23"/>
      <c r="B725" s="23"/>
      <c r="C725" s="23"/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</row>
    <row r="726" spans="1:19">
      <c r="A726" s="23"/>
      <c r="B726" s="23"/>
      <c r="C726" s="23"/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</row>
    <row r="727" spans="1:19">
      <c r="A727" s="23"/>
      <c r="B727" s="23"/>
      <c r="C727" s="23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</row>
    <row r="728" spans="1:19">
      <c r="A728" s="23"/>
      <c r="B728" s="23"/>
      <c r="C728" s="23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</row>
    <row r="729" spans="1:19">
      <c r="A729" s="23"/>
      <c r="B729" s="23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</row>
    <row r="730" spans="1:19">
      <c r="A730" s="23"/>
      <c r="B730" s="23"/>
      <c r="C730" s="23"/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</row>
    <row r="731" spans="1:19">
      <c r="A731" s="23"/>
      <c r="B731" s="23"/>
      <c r="C731" s="23"/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</row>
    <row r="732" spans="1:19">
      <c r="A732" s="23"/>
      <c r="B732" s="23"/>
      <c r="C732" s="23"/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</row>
    <row r="733" spans="1:19">
      <c r="A733" s="23"/>
      <c r="B733" s="23"/>
      <c r="C733" s="23"/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</row>
    <row r="734" spans="1:19">
      <c r="A734" s="23"/>
      <c r="B734" s="23"/>
      <c r="C734" s="23"/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</row>
    <row r="735" spans="1:19">
      <c r="A735" s="23"/>
      <c r="B735" s="23"/>
      <c r="C735" s="23"/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</row>
    <row r="736" spans="1:19">
      <c r="A736" s="23"/>
      <c r="B736" s="23"/>
      <c r="C736" s="23"/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</row>
    <row r="737" spans="1:19">
      <c r="A737" s="23"/>
      <c r="B737" s="23"/>
      <c r="C737" s="23"/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</row>
    <row r="738" spans="1:19">
      <c r="A738" s="23"/>
      <c r="B738" s="23"/>
      <c r="C738" s="23"/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</row>
    <row r="739" spans="1:19">
      <c r="A739" s="23"/>
      <c r="B739" s="23"/>
      <c r="C739" s="23"/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</row>
    <row r="740" spans="1:19">
      <c r="A740" s="23"/>
      <c r="B740" s="23"/>
      <c r="C740" s="23"/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</row>
    <row r="741" spans="1:19">
      <c r="A741" s="23"/>
      <c r="B741" s="23"/>
      <c r="C741" s="23"/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</row>
    <row r="742" spans="1:19">
      <c r="A742" s="23"/>
      <c r="B742" s="23"/>
      <c r="C742" s="23"/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</row>
    <row r="743" spans="1:19">
      <c r="A743" s="23"/>
      <c r="B743" s="23"/>
      <c r="C743" s="23"/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</row>
    <row r="744" spans="1:19">
      <c r="A744" s="23"/>
      <c r="B744" s="23"/>
      <c r="C744" s="23"/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</row>
    <row r="745" spans="1:19">
      <c r="A745" s="23"/>
      <c r="B745" s="23"/>
      <c r="C745" s="23"/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</row>
    <row r="746" spans="1:19">
      <c r="A746" s="23"/>
      <c r="B746" s="23"/>
      <c r="C746" s="23"/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</row>
    <row r="747" spans="1:19">
      <c r="A747" s="23"/>
      <c r="B747" s="23"/>
      <c r="C747" s="23"/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</row>
    <row r="748" spans="1:19">
      <c r="A748" s="23"/>
      <c r="B748" s="23"/>
      <c r="C748" s="23"/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</row>
    <row r="749" spans="1:19">
      <c r="A749" s="23"/>
      <c r="B749" s="23"/>
      <c r="C749" s="23"/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</row>
    <row r="750" spans="1:19">
      <c r="A750" s="23"/>
      <c r="B750" s="23"/>
      <c r="C750" s="23"/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</row>
    <row r="751" spans="1:19">
      <c r="A751" s="23"/>
      <c r="B751" s="23"/>
      <c r="C751" s="23"/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</row>
    <row r="752" spans="1:19">
      <c r="A752" s="23"/>
      <c r="B752" s="23"/>
      <c r="C752" s="23"/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</row>
    <row r="753" spans="1:19">
      <c r="A753" s="23"/>
      <c r="B753" s="23"/>
      <c r="C753" s="23"/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</row>
    <row r="754" spans="1:19">
      <c r="A754" s="23"/>
      <c r="B754" s="23"/>
      <c r="C754" s="23"/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</row>
    <row r="755" spans="1:19">
      <c r="A755" s="23"/>
      <c r="B755" s="23"/>
      <c r="C755" s="23"/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</row>
    <row r="756" spans="1:19">
      <c r="A756" s="23"/>
      <c r="B756" s="23"/>
      <c r="C756" s="23"/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</row>
    <row r="757" spans="1:19">
      <c r="A757" s="23"/>
      <c r="B757" s="23"/>
      <c r="C757" s="23"/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</row>
    <row r="758" spans="1:19">
      <c r="A758" s="23"/>
      <c r="B758" s="23"/>
      <c r="C758" s="23"/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</row>
    <row r="759" spans="1:19">
      <c r="A759" s="23"/>
      <c r="B759" s="23"/>
      <c r="C759" s="23"/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</row>
    <row r="760" spans="1:19">
      <c r="A760" s="23"/>
      <c r="B760" s="23"/>
      <c r="C760" s="23"/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</row>
    <row r="761" spans="1:19">
      <c r="A761" s="23"/>
      <c r="B761" s="23"/>
      <c r="C761" s="23"/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</row>
    <row r="762" spans="1:19">
      <c r="A762" s="23"/>
      <c r="B762" s="23"/>
      <c r="C762" s="23"/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</row>
    <row r="763" spans="1:19">
      <c r="A763" s="23"/>
      <c r="B763" s="23"/>
      <c r="C763" s="23"/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</row>
    <row r="764" spans="1:19">
      <c r="A764" s="23"/>
      <c r="B764" s="23"/>
      <c r="C764" s="23"/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</row>
    <row r="765" spans="1:19">
      <c r="A765" s="23"/>
      <c r="B765" s="23"/>
      <c r="C765" s="23"/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</row>
    <row r="766" spans="1:19">
      <c r="A766" s="23"/>
      <c r="B766" s="23"/>
      <c r="C766" s="23"/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</row>
    <row r="767" spans="1:19">
      <c r="A767" s="23"/>
      <c r="B767" s="23"/>
      <c r="C767" s="23"/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</row>
    <row r="768" spans="1:19">
      <c r="A768" s="23"/>
      <c r="B768" s="23"/>
      <c r="C768" s="23"/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</row>
    <row r="769" spans="1:19">
      <c r="A769" s="23"/>
      <c r="B769" s="23"/>
      <c r="C769" s="23"/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</row>
    <row r="770" spans="1:19">
      <c r="A770" s="23"/>
      <c r="B770" s="23"/>
      <c r="C770" s="23"/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</row>
    <row r="771" spans="1:19">
      <c r="A771" s="23"/>
      <c r="B771" s="23"/>
      <c r="C771" s="23"/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</row>
    <row r="772" spans="1:19">
      <c r="A772" s="23"/>
      <c r="B772" s="23"/>
      <c r="C772" s="23"/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</row>
    <row r="773" spans="1:19">
      <c r="A773" s="23"/>
      <c r="B773" s="23"/>
      <c r="C773" s="23"/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</row>
    <row r="774" spans="1:19">
      <c r="A774" s="23"/>
      <c r="B774" s="23"/>
      <c r="C774" s="23"/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</row>
    <row r="775" spans="1:19">
      <c r="A775" s="23"/>
      <c r="B775" s="23"/>
      <c r="C775" s="23"/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</row>
    <row r="776" spans="1:19">
      <c r="A776" s="23"/>
      <c r="B776" s="23"/>
      <c r="C776" s="23"/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</row>
    <row r="777" spans="1:19">
      <c r="A777" s="23"/>
      <c r="B777" s="23"/>
      <c r="C777" s="23"/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</row>
    <row r="778" spans="1:19">
      <c r="A778" s="23"/>
      <c r="B778" s="23"/>
      <c r="C778" s="23"/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</row>
    <row r="779" spans="1:19">
      <c r="A779" s="23"/>
      <c r="B779" s="23"/>
      <c r="C779" s="23"/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</row>
    <row r="780" spans="1:19">
      <c r="A780" s="23"/>
      <c r="B780" s="23"/>
      <c r="C780" s="23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</row>
    <row r="781" spans="1:19">
      <c r="A781" s="23"/>
      <c r="B781" s="23"/>
      <c r="C781" s="23"/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</row>
    <row r="782" spans="1:19">
      <c r="A782" s="23"/>
      <c r="B782" s="23"/>
      <c r="C782" s="23"/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</row>
    <row r="783" spans="1:19">
      <c r="A783" s="23"/>
      <c r="B783" s="23"/>
      <c r="C783" s="23"/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</row>
    <row r="784" spans="1:19">
      <c r="A784" s="23"/>
      <c r="B784" s="23"/>
      <c r="C784" s="23"/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</row>
    <row r="785" spans="1:19">
      <c r="A785" s="23"/>
      <c r="B785" s="23"/>
      <c r="C785" s="23"/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</row>
    <row r="786" spans="1:19">
      <c r="A786" s="23"/>
      <c r="B786" s="23"/>
      <c r="C786" s="23"/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</row>
    <row r="787" spans="1:19">
      <c r="A787" s="23"/>
      <c r="B787" s="23"/>
      <c r="C787" s="23"/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</row>
    <row r="788" spans="1:19">
      <c r="A788" s="23"/>
      <c r="B788" s="23"/>
      <c r="C788" s="23"/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</row>
    <row r="789" spans="1:19">
      <c r="A789" s="23"/>
      <c r="B789" s="23"/>
      <c r="C789" s="23"/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</row>
    <row r="790" spans="1:19">
      <c r="A790" s="23"/>
      <c r="B790" s="23"/>
      <c r="C790" s="23"/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</row>
    <row r="791" spans="1:19">
      <c r="A791" s="23"/>
      <c r="B791" s="23"/>
      <c r="C791" s="23"/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</row>
    <row r="792" spans="1:19">
      <c r="A792" s="23"/>
      <c r="B792" s="23"/>
      <c r="C792" s="23"/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</row>
    <row r="793" spans="1:19">
      <c r="A793" s="23"/>
      <c r="B793" s="23"/>
      <c r="C793" s="23"/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</row>
    <row r="794" spans="1:19">
      <c r="A794" s="23"/>
      <c r="B794" s="23"/>
      <c r="C794" s="23"/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</row>
    <row r="795" spans="1:19">
      <c r="A795" s="23"/>
      <c r="B795" s="23"/>
      <c r="C795" s="23"/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</row>
    <row r="796" spans="1:19">
      <c r="A796" s="23"/>
      <c r="B796" s="23"/>
      <c r="C796" s="23"/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</row>
    <row r="797" spans="1:19">
      <c r="A797" s="23"/>
      <c r="B797" s="23"/>
      <c r="C797" s="23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</row>
    <row r="798" spans="1:19">
      <c r="A798" s="23"/>
      <c r="B798" s="23"/>
      <c r="C798" s="23"/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</row>
    <row r="799" spans="1:19">
      <c r="A799" s="23"/>
      <c r="B799" s="23"/>
      <c r="C799" s="23"/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</row>
    <row r="800" spans="1:19">
      <c r="A800" s="23"/>
      <c r="B800" s="23"/>
      <c r="C800" s="23"/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</row>
    <row r="801" spans="1:19">
      <c r="A801" s="23"/>
      <c r="B801" s="23"/>
      <c r="C801" s="23"/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</row>
    <row r="802" spans="1:19">
      <c r="A802" s="23"/>
      <c r="B802" s="23"/>
      <c r="C802" s="23"/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</row>
    <row r="803" spans="1:19">
      <c r="A803" s="23"/>
      <c r="B803" s="23"/>
      <c r="C803" s="23"/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</row>
    <row r="804" spans="1:19">
      <c r="A804" s="23"/>
      <c r="B804" s="23"/>
      <c r="C804" s="23"/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</row>
    <row r="805" spans="1:19">
      <c r="A805" s="23"/>
      <c r="B805" s="23"/>
      <c r="C805" s="23"/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</row>
    <row r="806" spans="1:19">
      <c r="A806" s="23"/>
      <c r="B806" s="23"/>
      <c r="C806" s="23"/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</row>
    <row r="807" spans="1:19">
      <c r="A807" s="23"/>
      <c r="B807" s="23"/>
      <c r="C807" s="23"/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</row>
    <row r="808" spans="1:19">
      <c r="A808" s="23"/>
      <c r="B808" s="23"/>
      <c r="C808" s="23"/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</row>
    <row r="809" spans="1:19">
      <c r="A809" s="23"/>
      <c r="B809" s="23"/>
      <c r="C809" s="23"/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</row>
    <row r="810" spans="1:19">
      <c r="A810" s="23"/>
      <c r="B810" s="23"/>
      <c r="C810" s="23"/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</row>
    <row r="811" spans="1:19">
      <c r="A811" s="23"/>
      <c r="B811" s="23"/>
      <c r="C811" s="23"/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</row>
    <row r="812" spans="1:19">
      <c r="A812" s="23"/>
      <c r="B812" s="23"/>
      <c r="C812" s="23"/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</row>
    <row r="813" spans="1:19">
      <c r="A813" s="23"/>
      <c r="B813" s="23"/>
      <c r="C813" s="23"/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</row>
    <row r="814" spans="1:19">
      <c r="A814" s="23"/>
      <c r="B814" s="23"/>
      <c r="C814" s="23"/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</row>
    <row r="815" spans="1:19">
      <c r="A815" s="23"/>
      <c r="B815" s="23"/>
      <c r="C815" s="23"/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</row>
    <row r="816" spans="1:19">
      <c r="A816" s="23"/>
      <c r="B816" s="23"/>
      <c r="C816" s="23"/>
      <c r="D816" s="23"/>
      <c r="E816" s="23"/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</row>
    <row r="817" spans="1:19">
      <c r="A817" s="23"/>
      <c r="B817" s="23"/>
      <c r="C817" s="23"/>
      <c r="D817" s="23"/>
      <c r="E817" s="23"/>
      <c r="F817" s="23"/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</row>
    <row r="818" spans="1:19">
      <c r="A818" s="23"/>
      <c r="B818" s="23"/>
      <c r="C818" s="23"/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</row>
    <row r="819" spans="1:19">
      <c r="A819" s="23"/>
      <c r="B819" s="23"/>
      <c r="C819" s="23"/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</row>
    <row r="820" spans="1:19">
      <c r="A820" s="23"/>
      <c r="B820" s="23"/>
      <c r="C820" s="23"/>
      <c r="D820" s="23"/>
      <c r="E820" s="23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</row>
    <row r="821" spans="1:19">
      <c r="A821" s="23"/>
      <c r="B821" s="23"/>
      <c r="C821" s="23"/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</row>
    <row r="822" spans="1:19">
      <c r="A822" s="23"/>
      <c r="B822" s="23"/>
      <c r="C822" s="23"/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</row>
    <row r="823" spans="1:19">
      <c r="A823" s="23"/>
      <c r="B823" s="23"/>
      <c r="C823" s="23"/>
      <c r="D823" s="23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</row>
    <row r="824" spans="1:19">
      <c r="A824" s="23"/>
      <c r="B824" s="23"/>
      <c r="C824" s="23"/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</row>
    <row r="825" spans="1:19">
      <c r="A825" s="23"/>
      <c r="B825" s="23"/>
      <c r="C825" s="23"/>
      <c r="D825" s="23"/>
      <c r="E825" s="23"/>
      <c r="F825" s="23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</row>
    <row r="826" spans="1:19">
      <c r="A826" s="23"/>
      <c r="B826" s="23"/>
      <c r="C826" s="23"/>
      <c r="D826" s="23"/>
      <c r="E826" s="23"/>
      <c r="F826" s="23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</row>
    <row r="827" spans="1:19">
      <c r="A827" s="23"/>
      <c r="B827" s="23"/>
      <c r="C827" s="23"/>
      <c r="D827" s="23"/>
      <c r="E827" s="23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</row>
    <row r="828" spans="1:19">
      <c r="A828" s="23"/>
      <c r="B828" s="23"/>
      <c r="C828" s="23"/>
      <c r="D828" s="23"/>
      <c r="E828" s="23"/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</row>
    <row r="829" spans="1:19">
      <c r="A829" s="23"/>
      <c r="B829" s="23"/>
      <c r="C829" s="23"/>
      <c r="D829" s="23"/>
      <c r="E829" s="23"/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</row>
    <row r="830" spans="1:19">
      <c r="A830" s="23"/>
      <c r="B830" s="23"/>
      <c r="C830" s="23"/>
      <c r="D830" s="23"/>
      <c r="E830" s="23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</row>
    <row r="831" spans="1:19">
      <c r="A831" s="23"/>
      <c r="B831" s="23"/>
      <c r="C831" s="23"/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</row>
    <row r="832" spans="1:19">
      <c r="A832" s="23"/>
      <c r="B832" s="23"/>
      <c r="C832" s="23"/>
      <c r="D832" s="23"/>
      <c r="E832" s="23"/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</row>
    <row r="833" spans="1:19">
      <c r="A833" s="23"/>
      <c r="B833" s="23"/>
      <c r="C833" s="23"/>
      <c r="D833" s="23"/>
      <c r="E833" s="23"/>
      <c r="F833" s="23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</row>
    <row r="834" spans="1:19">
      <c r="A834" s="23"/>
      <c r="B834" s="23"/>
      <c r="C834" s="23"/>
      <c r="D834" s="23"/>
      <c r="E834" s="23"/>
      <c r="F834" s="23"/>
      <c r="G834" s="23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</row>
    <row r="835" spans="1:19">
      <c r="A835" s="23"/>
      <c r="B835" s="23"/>
      <c r="C835" s="23"/>
      <c r="D835" s="23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</row>
    <row r="836" spans="1:19">
      <c r="A836" s="23"/>
      <c r="B836" s="23"/>
      <c r="C836" s="23"/>
      <c r="D836" s="23"/>
      <c r="E836" s="23"/>
      <c r="F836" s="23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</row>
    <row r="837" spans="1:19">
      <c r="A837" s="23"/>
      <c r="B837" s="23"/>
      <c r="C837" s="23"/>
      <c r="D837" s="23"/>
      <c r="E837" s="23"/>
      <c r="F837" s="23"/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</row>
    <row r="838" spans="1:19">
      <c r="A838" s="23"/>
      <c r="B838" s="23"/>
      <c r="C838" s="23"/>
      <c r="D838" s="23"/>
      <c r="E838" s="23"/>
      <c r="F838" s="23"/>
      <c r="G838" s="23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</row>
    <row r="839" spans="1:19">
      <c r="A839" s="23"/>
      <c r="B839" s="23"/>
      <c r="C839" s="23"/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</row>
    <row r="840" spans="1:19">
      <c r="A840" s="23"/>
      <c r="B840" s="23"/>
      <c r="C840" s="23"/>
      <c r="D840" s="23"/>
      <c r="E840" s="23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</row>
    <row r="841" spans="1:19">
      <c r="A841" s="23"/>
      <c r="B841" s="23"/>
      <c r="C841" s="23"/>
      <c r="D841" s="23"/>
      <c r="E841" s="23"/>
      <c r="F841" s="23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</row>
    <row r="842" spans="1:19">
      <c r="A842" s="23"/>
      <c r="B842" s="23"/>
      <c r="C842" s="23"/>
      <c r="D842" s="23"/>
      <c r="E842" s="23"/>
      <c r="F842" s="23"/>
      <c r="G842" s="23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</row>
    <row r="843" spans="1:19">
      <c r="A843" s="23"/>
      <c r="B843" s="23"/>
      <c r="C843" s="23"/>
      <c r="D843" s="23"/>
      <c r="E843" s="23"/>
      <c r="F843" s="23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</row>
    <row r="844" spans="1:19">
      <c r="A844" s="23"/>
      <c r="B844" s="23"/>
      <c r="C844" s="23"/>
      <c r="D844" s="23"/>
      <c r="E844" s="23"/>
      <c r="F844" s="23"/>
      <c r="G844" s="23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</row>
    <row r="845" spans="1:19">
      <c r="A845" s="23"/>
      <c r="B845" s="23"/>
      <c r="C845" s="23"/>
      <c r="D845" s="23"/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</row>
    <row r="846" spans="1:19">
      <c r="A846" s="23"/>
      <c r="B846" s="23"/>
      <c r="C846" s="23"/>
      <c r="D846" s="23"/>
      <c r="E846" s="23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</row>
    <row r="847" spans="1:19">
      <c r="A847" s="23"/>
      <c r="B847" s="23"/>
      <c r="C847" s="23"/>
      <c r="D847" s="23"/>
      <c r="E847" s="23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</row>
    <row r="848" spans="1:19">
      <c r="A848" s="23"/>
      <c r="B848" s="23"/>
      <c r="C848" s="23"/>
      <c r="D848" s="23"/>
      <c r="E848" s="23"/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</row>
    <row r="849" spans="1:19">
      <c r="A849" s="23"/>
      <c r="B849" s="23"/>
      <c r="C849" s="23"/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</row>
    <row r="850" spans="1:19">
      <c r="A850" s="23"/>
      <c r="B850" s="23"/>
      <c r="C850" s="23"/>
      <c r="D850" s="23"/>
      <c r="E850" s="23"/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</row>
    <row r="851" spans="1:19">
      <c r="A851" s="23"/>
      <c r="B851" s="23"/>
      <c r="C851" s="23"/>
      <c r="D851" s="23"/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</row>
    <row r="852" spans="1:19">
      <c r="A852" s="23"/>
      <c r="B852" s="23"/>
      <c r="C852" s="23"/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</row>
    <row r="853" spans="1:19">
      <c r="A853" s="23"/>
      <c r="B853" s="23"/>
      <c r="C853" s="23"/>
      <c r="D853" s="23"/>
      <c r="E853" s="23"/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</row>
    <row r="854" spans="1:19">
      <c r="A854" s="23"/>
      <c r="B854" s="23"/>
      <c r="C854" s="23"/>
      <c r="D854" s="23"/>
      <c r="E854" s="23"/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</row>
    <row r="855" spans="1:19">
      <c r="A855" s="23"/>
      <c r="B855" s="23"/>
      <c r="C855" s="23"/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</row>
    <row r="856" spans="1:19">
      <c r="A856" s="23"/>
      <c r="B856" s="23"/>
      <c r="C856" s="23"/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</row>
    <row r="857" spans="1:19">
      <c r="A857" s="23"/>
      <c r="B857" s="23"/>
      <c r="C857" s="23"/>
      <c r="D857" s="23"/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</row>
    <row r="858" spans="1:19">
      <c r="A858" s="23"/>
      <c r="B858" s="23"/>
      <c r="C858" s="23"/>
      <c r="D858" s="23"/>
      <c r="E858" s="23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</row>
    <row r="859" spans="1:19">
      <c r="A859" s="23"/>
      <c r="B859" s="23"/>
      <c r="C859" s="23"/>
      <c r="D859" s="23"/>
      <c r="E859" s="23"/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</row>
    <row r="860" spans="1:19">
      <c r="A860" s="23"/>
      <c r="B860" s="23"/>
      <c r="C860" s="23"/>
      <c r="D860" s="23"/>
      <c r="E860" s="23"/>
      <c r="F860" s="23"/>
      <c r="G860" s="23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</row>
    <row r="861" spans="1:19">
      <c r="A861" s="23"/>
      <c r="B861" s="23"/>
      <c r="C861" s="23"/>
      <c r="D861" s="23"/>
      <c r="E861" s="23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</row>
    <row r="862" spans="1:19">
      <c r="A862" s="23"/>
      <c r="B862" s="23"/>
      <c r="C862" s="23"/>
      <c r="D862" s="23"/>
      <c r="E862" s="23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</row>
    <row r="863" spans="1:19">
      <c r="A863" s="23"/>
      <c r="B863" s="23"/>
      <c r="C863" s="23"/>
      <c r="D863" s="23"/>
      <c r="E863" s="23"/>
      <c r="F863" s="23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</row>
    <row r="864" spans="1:19">
      <c r="A864" s="23"/>
      <c r="B864" s="23"/>
      <c r="C864" s="23"/>
      <c r="D864" s="23"/>
      <c r="E864" s="23"/>
      <c r="F864" s="23"/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</row>
    <row r="865" spans="1:19">
      <c r="A865" s="23"/>
      <c r="B865" s="23"/>
      <c r="C865" s="23"/>
      <c r="D865" s="23"/>
      <c r="E865" s="23"/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</row>
    <row r="866" spans="1:19">
      <c r="A866" s="23"/>
      <c r="B866" s="23"/>
      <c r="C866" s="23"/>
      <c r="D866" s="23"/>
      <c r="E866" s="23"/>
      <c r="F866" s="23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</row>
    <row r="867" spans="1:19">
      <c r="A867" s="23"/>
      <c r="B867" s="23"/>
      <c r="C867" s="23"/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</row>
    <row r="868" spans="1:19">
      <c r="A868" s="23"/>
      <c r="B868" s="23"/>
      <c r="C868" s="23"/>
      <c r="D868" s="23"/>
      <c r="E868" s="23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</row>
    <row r="869" spans="1:19">
      <c r="A869" s="23"/>
      <c r="B869" s="23"/>
      <c r="C869" s="23"/>
      <c r="D869" s="23"/>
      <c r="E869" s="23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</row>
    <row r="870" spans="1:19">
      <c r="A870" s="23"/>
      <c r="B870" s="23"/>
      <c r="C870" s="23"/>
      <c r="D870" s="23"/>
      <c r="E870" s="23"/>
      <c r="F870" s="23"/>
      <c r="G870" s="23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</row>
    <row r="871" spans="1:19">
      <c r="A871" s="23"/>
      <c r="B871" s="23"/>
      <c r="C871" s="23"/>
      <c r="D871" s="23"/>
      <c r="E871" s="23"/>
      <c r="F871" s="23"/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</row>
    <row r="872" spans="1:19">
      <c r="A872" s="23"/>
      <c r="B872" s="23"/>
      <c r="C872" s="23"/>
      <c r="D872" s="23"/>
      <c r="E872" s="23"/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</row>
    <row r="873" spans="1:19">
      <c r="A873" s="23"/>
      <c r="B873" s="23"/>
      <c r="C873" s="23"/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</row>
    <row r="874" spans="1:19">
      <c r="A874" s="23"/>
      <c r="B874" s="23"/>
      <c r="C874" s="23"/>
      <c r="D874" s="23"/>
      <c r="E874" s="23"/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</row>
    <row r="875" spans="1:19">
      <c r="A875" s="23"/>
      <c r="B875" s="23"/>
      <c r="C875" s="23"/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</row>
    <row r="876" spans="1:19">
      <c r="A876" s="23"/>
      <c r="B876" s="23"/>
      <c r="C876" s="23"/>
      <c r="D876" s="23"/>
      <c r="E876" s="23"/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</row>
    <row r="877" spans="1:19">
      <c r="A877" s="23"/>
      <c r="B877" s="23"/>
      <c r="C877" s="23"/>
      <c r="D877" s="23"/>
      <c r="E877" s="23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</row>
    <row r="878" spans="1:19">
      <c r="A878" s="23"/>
      <c r="B878" s="23"/>
      <c r="C878" s="23"/>
      <c r="D878" s="23"/>
      <c r="E878" s="23"/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</row>
    <row r="879" spans="1:19">
      <c r="A879" s="23"/>
      <c r="B879" s="23"/>
      <c r="C879" s="23"/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</row>
    <row r="880" spans="1:19">
      <c r="A880" s="23"/>
      <c r="B880" s="23"/>
      <c r="C880" s="23"/>
      <c r="D880" s="23"/>
      <c r="E880" s="23"/>
      <c r="F880" s="23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</row>
    <row r="881" spans="1:19">
      <c r="A881" s="23"/>
      <c r="B881" s="23"/>
      <c r="C881" s="23"/>
      <c r="D881" s="23"/>
      <c r="E881" s="23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</row>
    <row r="882" spans="1:19">
      <c r="A882" s="23"/>
      <c r="B882" s="23"/>
      <c r="C882" s="23"/>
      <c r="D882" s="23"/>
      <c r="E882" s="23"/>
      <c r="F882" s="23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</row>
    <row r="883" spans="1:19">
      <c r="A883" s="23"/>
      <c r="B883" s="23"/>
      <c r="C883" s="23"/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</row>
    <row r="884" spans="1:19">
      <c r="A884" s="23"/>
      <c r="B884" s="23"/>
      <c r="C884" s="23"/>
      <c r="D884" s="23"/>
      <c r="E884" s="23"/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</row>
    <row r="885" spans="1:19">
      <c r="A885" s="23"/>
      <c r="B885" s="23"/>
      <c r="C885" s="23"/>
      <c r="D885" s="23"/>
      <c r="E885" s="23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</row>
    <row r="886" spans="1:19">
      <c r="A886" s="23"/>
      <c r="B886" s="23"/>
      <c r="C886" s="23"/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</row>
    <row r="887" spans="1:19">
      <c r="A887" s="23"/>
      <c r="B887" s="23"/>
      <c r="C887" s="23"/>
      <c r="D887" s="23"/>
      <c r="E887" s="23"/>
      <c r="F887" s="23"/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</row>
    <row r="888" spans="1:19">
      <c r="A888" s="23"/>
      <c r="B888" s="23"/>
      <c r="C888" s="23"/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</row>
    <row r="889" spans="1:19">
      <c r="A889" s="23"/>
      <c r="B889" s="23"/>
      <c r="C889" s="23"/>
      <c r="D889" s="23"/>
      <c r="E889" s="23"/>
      <c r="F889" s="23"/>
      <c r="G889" s="23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</row>
    <row r="890" spans="1:19">
      <c r="A890" s="23"/>
      <c r="B890" s="23"/>
      <c r="C890" s="23"/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</row>
    <row r="891" spans="1:19">
      <c r="A891" s="23"/>
      <c r="B891" s="23"/>
      <c r="C891" s="23"/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</row>
    <row r="892" spans="1:19">
      <c r="A892" s="23"/>
      <c r="B892" s="23"/>
      <c r="C892" s="23"/>
      <c r="D892" s="23"/>
      <c r="E892" s="23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</row>
    <row r="893" spans="1:19">
      <c r="A893" s="23"/>
      <c r="B893" s="23"/>
      <c r="C893" s="23"/>
      <c r="D893" s="23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</row>
    <row r="894" spans="1:19">
      <c r="A894" s="23"/>
      <c r="B894" s="23"/>
      <c r="C894" s="23"/>
      <c r="D894" s="23"/>
      <c r="E894" s="23"/>
      <c r="F894" s="23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</row>
    <row r="895" spans="1:19">
      <c r="A895" s="23"/>
      <c r="B895" s="23"/>
      <c r="C895" s="23"/>
      <c r="D895" s="23"/>
      <c r="E895" s="23"/>
      <c r="F895" s="23"/>
      <c r="G895" s="23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</row>
    <row r="896" spans="1:19">
      <c r="A896" s="23"/>
      <c r="B896" s="23"/>
      <c r="C896" s="23"/>
      <c r="D896" s="23"/>
      <c r="E896" s="23"/>
      <c r="F896" s="23"/>
      <c r="G896" s="23"/>
      <c r="H896" s="23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</row>
    <row r="897" spans="1:19">
      <c r="A897" s="23"/>
      <c r="B897" s="23"/>
      <c r="C897" s="23"/>
      <c r="D897" s="23"/>
      <c r="E897" s="23"/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</row>
    <row r="898" spans="1:19">
      <c r="A898" s="23"/>
      <c r="B898" s="23"/>
      <c r="C898" s="23"/>
      <c r="D898" s="23"/>
      <c r="E898" s="23"/>
      <c r="F898" s="23"/>
      <c r="G898" s="23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</row>
    <row r="899" spans="1:19">
      <c r="A899" s="23"/>
      <c r="B899" s="23"/>
      <c r="C899" s="23"/>
      <c r="D899" s="23"/>
      <c r="E899" s="23"/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</row>
    <row r="900" spans="1:19">
      <c r="A900" s="23"/>
      <c r="B900" s="23"/>
      <c r="C900" s="23"/>
      <c r="D900" s="23"/>
      <c r="E900" s="23"/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</row>
    <row r="901" spans="1:19">
      <c r="A901" s="23"/>
      <c r="B901" s="23"/>
      <c r="C901" s="23"/>
      <c r="D901" s="23"/>
      <c r="E901" s="23"/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</row>
    <row r="902" spans="1:19">
      <c r="A902" s="23"/>
      <c r="B902" s="23"/>
      <c r="C902" s="23"/>
      <c r="D902" s="23"/>
      <c r="E902" s="23"/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</row>
    <row r="903" spans="1:19">
      <c r="A903" s="23"/>
      <c r="B903" s="23"/>
      <c r="C903" s="23"/>
      <c r="D903" s="23"/>
      <c r="E903" s="23"/>
      <c r="F903" s="23"/>
      <c r="G903" s="23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</row>
    <row r="904" spans="1:19">
      <c r="A904" s="23"/>
      <c r="B904" s="23"/>
      <c r="C904" s="23"/>
      <c r="D904" s="23"/>
      <c r="E904" s="23"/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</row>
    <row r="905" spans="1:19">
      <c r="A905" s="23"/>
      <c r="B905" s="23"/>
      <c r="C905" s="23"/>
      <c r="D905" s="23"/>
      <c r="E905" s="23"/>
      <c r="F905" s="23"/>
      <c r="G905" s="23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</row>
    <row r="906" spans="1:19">
      <c r="A906" s="23"/>
      <c r="B906" s="23"/>
      <c r="C906" s="23"/>
      <c r="D906" s="23"/>
      <c r="E906" s="23"/>
      <c r="F906" s="23"/>
      <c r="G906" s="23"/>
      <c r="H906" s="23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</row>
    <row r="907" spans="1:19">
      <c r="A907" s="23"/>
      <c r="B907" s="23"/>
      <c r="C907" s="23"/>
      <c r="D907" s="23"/>
      <c r="E907" s="23"/>
      <c r="F907" s="23"/>
      <c r="G907" s="23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</row>
    <row r="908" spans="1:19">
      <c r="A908" s="23"/>
      <c r="B908" s="23"/>
      <c r="C908" s="23"/>
      <c r="D908" s="23"/>
      <c r="E908" s="23"/>
      <c r="F908" s="23"/>
      <c r="G908" s="23"/>
      <c r="H908" s="23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</row>
    <row r="909" spans="1:19">
      <c r="A909" s="23"/>
      <c r="B909" s="23"/>
      <c r="C909" s="23"/>
      <c r="D909" s="23"/>
      <c r="E909" s="23"/>
      <c r="F909" s="23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</row>
    <row r="910" spans="1:19">
      <c r="A910" s="23"/>
      <c r="B910" s="23"/>
      <c r="C910" s="23"/>
      <c r="D910" s="23"/>
      <c r="E910" s="23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</row>
    <row r="911" spans="1:19">
      <c r="A911" s="23"/>
      <c r="B911" s="23"/>
      <c r="C911" s="23"/>
      <c r="D911" s="23"/>
      <c r="E911" s="23"/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</row>
    <row r="912" spans="1:19">
      <c r="A912" s="23"/>
      <c r="B912" s="23"/>
      <c r="C912" s="23"/>
      <c r="D912" s="23"/>
      <c r="E912" s="23"/>
      <c r="F912" s="23"/>
      <c r="G912" s="23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</row>
    <row r="913" spans="1:19">
      <c r="A913" s="23"/>
      <c r="B913" s="23"/>
      <c r="C913" s="23"/>
      <c r="D913" s="23"/>
      <c r="E913" s="23"/>
      <c r="F913" s="23"/>
      <c r="G913" s="23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</row>
    <row r="914" spans="1:19">
      <c r="A914" s="23"/>
      <c r="B914" s="23"/>
      <c r="C914" s="23"/>
      <c r="D914" s="23"/>
      <c r="E914" s="23"/>
      <c r="F914" s="23"/>
      <c r="G914" s="23"/>
      <c r="H914" s="23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</row>
    <row r="915" spans="1:19">
      <c r="A915" s="23"/>
      <c r="B915" s="23"/>
      <c r="C915" s="23"/>
      <c r="D915" s="23"/>
      <c r="E915" s="23"/>
      <c r="F915" s="23"/>
      <c r="G915" s="23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</row>
    <row r="916" spans="1:19">
      <c r="A916" s="23"/>
      <c r="B916" s="23"/>
      <c r="C916" s="23"/>
      <c r="D916" s="23"/>
      <c r="E916" s="23"/>
      <c r="F916" s="23"/>
      <c r="G916" s="23"/>
      <c r="H916" s="23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</row>
    <row r="917" spans="1:19">
      <c r="A917" s="23"/>
      <c r="B917" s="23"/>
      <c r="C917" s="23"/>
      <c r="D917" s="23"/>
      <c r="E917" s="23"/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</row>
    <row r="918" spans="1:19">
      <c r="A918" s="23"/>
      <c r="B918" s="23"/>
      <c r="C918" s="23"/>
      <c r="D918" s="23"/>
      <c r="E918" s="23"/>
      <c r="F918" s="23"/>
      <c r="G918" s="23"/>
      <c r="H918" s="23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</row>
    <row r="919" spans="1:19">
      <c r="A919" s="23"/>
      <c r="B919" s="23"/>
      <c r="C919" s="23"/>
      <c r="D919" s="23"/>
      <c r="E919" s="23"/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</row>
    <row r="920" spans="1:19">
      <c r="A920" s="23"/>
      <c r="B920" s="23"/>
      <c r="C920" s="23"/>
      <c r="D920" s="23"/>
      <c r="E920" s="23"/>
      <c r="F920" s="23"/>
      <c r="G920" s="23"/>
      <c r="H920" s="23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</row>
    <row r="921" spans="1:19">
      <c r="A921" s="23"/>
      <c r="B921" s="23"/>
      <c r="C921" s="23"/>
      <c r="D921" s="23"/>
      <c r="E921" s="23"/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</row>
    <row r="922" spans="1:19">
      <c r="A922" s="23"/>
      <c r="B922" s="23"/>
      <c r="C922" s="23"/>
      <c r="D922" s="23"/>
      <c r="E922" s="23"/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</row>
    <row r="923" spans="1:19">
      <c r="A923" s="23"/>
      <c r="B923" s="23"/>
      <c r="C923" s="23"/>
      <c r="D923" s="23"/>
      <c r="E923" s="23"/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</row>
    <row r="924" spans="1:19">
      <c r="A924" s="23"/>
      <c r="B924" s="23"/>
      <c r="C924" s="23"/>
      <c r="D924" s="23"/>
      <c r="E924" s="23"/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</row>
    <row r="925" spans="1:19">
      <c r="A925" s="23"/>
      <c r="B925" s="23"/>
      <c r="C925" s="23"/>
      <c r="D925" s="23"/>
      <c r="E925" s="23"/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</row>
    <row r="926" spans="1:19">
      <c r="A926" s="23"/>
      <c r="B926" s="23"/>
      <c r="C926" s="23"/>
      <c r="D926" s="23"/>
      <c r="E926" s="23"/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</row>
    <row r="927" spans="1:19">
      <c r="A927" s="23"/>
      <c r="B927" s="23"/>
      <c r="C927" s="23"/>
      <c r="D927" s="23"/>
      <c r="E927" s="23"/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</row>
    <row r="928" spans="1:19">
      <c r="A928" s="23"/>
      <c r="B928" s="23"/>
      <c r="C928" s="23"/>
      <c r="D928" s="23"/>
      <c r="E928" s="23"/>
      <c r="F928" s="23"/>
      <c r="G928" s="23"/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</row>
    <row r="929" spans="1:19">
      <c r="A929" s="23"/>
      <c r="B929" s="23"/>
      <c r="C929" s="23"/>
      <c r="D929" s="23"/>
      <c r="E929" s="23"/>
      <c r="F929" s="23"/>
      <c r="G929" s="23"/>
      <c r="H929" s="23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</row>
    <row r="930" spans="1:19">
      <c r="A930" s="23"/>
      <c r="B930" s="23"/>
      <c r="C930" s="23"/>
      <c r="D930" s="23"/>
      <c r="E930" s="23"/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</row>
    <row r="931" spans="1:19">
      <c r="A931" s="23"/>
      <c r="B931" s="23"/>
      <c r="C931" s="23"/>
      <c r="D931" s="23"/>
      <c r="E931" s="23"/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</row>
    <row r="932" spans="1:19">
      <c r="A932" s="23"/>
      <c r="B932" s="23"/>
      <c r="C932" s="23"/>
      <c r="D932" s="23"/>
      <c r="E932" s="23"/>
      <c r="F932" s="23"/>
      <c r="G932" s="23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</row>
    <row r="933" spans="1:19">
      <c r="A933" s="23"/>
      <c r="B933" s="23"/>
      <c r="C933" s="23"/>
      <c r="D933" s="23"/>
      <c r="E933" s="23"/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</row>
    <row r="934" spans="1:19">
      <c r="A934" s="23"/>
      <c r="B934" s="23"/>
      <c r="C934" s="23"/>
      <c r="D934" s="23"/>
      <c r="E934" s="23"/>
      <c r="F934" s="23"/>
      <c r="G934" s="23"/>
      <c r="H934" s="23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</row>
    <row r="935" spans="1:19">
      <c r="A935" s="23"/>
      <c r="B935" s="23"/>
      <c r="C935" s="23"/>
      <c r="D935" s="23"/>
      <c r="E935" s="23"/>
      <c r="F935" s="23"/>
      <c r="G935" s="23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</row>
    <row r="936" spans="1:19">
      <c r="A936" s="23"/>
      <c r="B936" s="23"/>
      <c r="C936" s="23"/>
      <c r="D936" s="23"/>
      <c r="E936" s="23"/>
      <c r="F936" s="23"/>
      <c r="G936" s="23"/>
      <c r="H936" s="23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</row>
    <row r="937" spans="1:19">
      <c r="A937" s="23"/>
      <c r="B937" s="23"/>
      <c r="C937" s="23"/>
      <c r="D937" s="23"/>
      <c r="E937" s="23"/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</row>
    <row r="938" spans="1:19">
      <c r="A938" s="23"/>
      <c r="B938" s="23"/>
      <c r="C938" s="23"/>
      <c r="D938" s="23"/>
      <c r="E938" s="23"/>
      <c r="F938" s="23"/>
      <c r="G938" s="23"/>
      <c r="H938" s="23"/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</row>
    <row r="939" spans="1:19">
      <c r="A939" s="23"/>
      <c r="B939" s="23"/>
      <c r="C939" s="23"/>
      <c r="D939" s="23"/>
      <c r="E939" s="23"/>
      <c r="F939" s="23"/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</row>
    <row r="940" spans="1:19">
      <c r="A940" s="23"/>
      <c r="B940" s="23"/>
      <c r="C940" s="23"/>
      <c r="D940" s="23"/>
      <c r="E940" s="23"/>
      <c r="F940" s="23"/>
      <c r="G940" s="23"/>
      <c r="H940" s="23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</row>
    <row r="941" spans="1:19">
      <c r="A941" s="23"/>
      <c r="B941" s="23"/>
      <c r="C941" s="23"/>
      <c r="D941" s="23"/>
      <c r="E941" s="23"/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</row>
    <row r="942" spans="1:19">
      <c r="A942" s="23"/>
      <c r="B942" s="23"/>
      <c r="C942" s="23"/>
      <c r="D942" s="23"/>
      <c r="E942" s="23"/>
      <c r="F942" s="23"/>
      <c r="G942" s="23"/>
      <c r="H942" s="23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</row>
    <row r="943" spans="1:19">
      <c r="A943" s="23"/>
      <c r="B943" s="23"/>
      <c r="C943" s="23"/>
      <c r="D943" s="23"/>
      <c r="E943" s="23"/>
      <c r="F943" s="23"/>
      <c r="G943" s="23"/>
      <c r="H943" s="23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</row>
    <row r="944" spans="1:19">
      <c r="A944" s="23"/>
      <c r="B944" s="23"/>
      <c r="C944" s="23"/>
      <c r="D944" s="23"/>
      <c r="E944" s="23"/>
      <c r="F944" s="23"/>
      <c r="G944" s="23"/>
      <c r="H944" s="23"/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</row>
    <row r="945" spans="1:19">
      <c r="A945" s="23"/>
      <c r="B945" s="23"/>
      <c r="C945" s="23"/>
      <c r="D945" s="23"/>
      <c r="E945" s="23"/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</row>
    <row r="946" spans="1:19">
      <c r="A946" s="23"/>
      <c r="B946" s="23"/>
      <c r="C946" s="23"/>
      <c r="D946" s="23"/>
      <c r="E946" s="23"/>
      <c r="F946" s="23"/>
      <c r="G946" s="23"/>
      <c r="H946" s="23"/>
      <c r="I946" s="23"/>
      <c r="J946" s="23"/>
      <c r="K946" s="23"/>
      <c r="L946" s="23"/>
      <c r="M946" s="23"/>
      <c r="N946" s="23"/>
      <c r="O946" s="23"/>
      <c r="P946" s="23"/>
      <c r="Q946" s="23"/>
      <c r="R946" s="23"/>
      <c r="S946" s="23"/>
    </row>
    <row r="947" spans="1:19">
      <c r="A947" s="23"/>
      <c r="B947" s="23"/>
      <c r="C947" s="23"/>
      <c r="D947" s="23"/>
      <c r="E947" s="23"/>
      <c r="F947" s="23"/>
      <c r="G947" s="23"/>
      <c r="H947" s="23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</row>
    <row r="948" spans="1:19">
      <c r="A948" s="23"/>
      <c r="B948" s="23"/>
      <c r="C948" s="23"/>
      <c r="D948" s="23"/>
      <c r="E948" s="23"/>
      <c r="F948" s="23"/>
      <c r="G948" s="23"/>
      <c r="H948" s="23"/>
      <c r="I948" s="23"/>
      <c r="J948" s="23"/>
      <c r="K948" s="23"/>
      <c r="L948" s="23"/>
      <c r="M948" s="23"/>
      <c r="N948" s="23"/>
      <c r="O948" s="23"/>
      <c r="P948" s="23"/>
      <c r="Q948" s="23"/>
      <c r="R948" s="23"/>
      <c r="S948" s="23"/>
    </row>
    <row r="949" spans="1:19">
      <c r="A949" s="23"/>
      <c r="B949" s="23"/>
      <c r="C949" s="23"/>
      <c r="D949" s="23"/>
      <c r="E949" s="23"/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</row>
    <row r="950" spans="1:19">
      <c r="A950" s="23"/>
      <c r="B950" s="23"/>
      <c r="C950" s="23"/>
      <c r="D950" s="23"/>
      <c r="E950" s="23"/>
      <c r="F950" s="23"/>
      <c r="G950" s="23"/>
      <c r="H950" s="23"/>
      <c r="I950" s="23"/>
      <c r="J950" s="23"/>
      <c r="K950" s="23"/>
      <c r="L950" s="23"/>
      <c r="M950" s="23"/>
      <c r="N950" s="23"/>
      <c r="O950" s="23"/>
      <c r="P950" s="23"/>
      <c r="Q950" s="23"/>
      <c r="R950" s="23"/>
      <c r="S950" s="23"/>
    </row>
    <row r="951" spans="1:19">
      <c r="A951" s="23"/>
      <c r="B951" s="23"/>
      <c r="C951" s="23"/>
      <c r="D951" s="23"/>
      <c r="E951" s="23"/>
      <c r="F951" s="23"/>
      <c r="G951" s="23"/>
      <c r="H951" s="23"/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</row>
    <row r="952" spans="1:19">
      <c r="A952" s="23"/>
      <c r="B952" s="23"/>
      <c r="C952" s="23"/>
      <c r="D952" s="23"/>
      <c r="E952" s="23"/>
      <c r="F952" s="23"/>
      <c r="G952" s="23"/>
      <c r="H952" s="23"/>
      <c r="I952" s="23"/>
      <c r="J952" s="23"/>
      <c r="K952" s="23"/>
      <c r="L952" s="23"/>
      <c r="M952" s="23"/>
      <c r="N952" s="23"/>
      <c r="O952" s="23"/>
      <c r="P952" s="23"/>
      <c r="Q952" s="23"/>
      <c r="R952" s="23"/>
      <c r="S952" s="23"/>
    </row>
    <row r="953" spans="1:19">
      <c r="A953" s="23"/>
      <c r="B953" s="23"/>
      <c r="C953" s="23"/>
      <c r="D953" s="23"/>
      <c r="E953" s="23"/>
      <c r="F953" s="23"/>
      <c r="G953" s="23"/>
      <c r="H953" s="23"/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</row>
    <row r="954" spans="1:19">
      <c r="A954" s="23"/>
      <c r="B954" s="23"/>
      <c r="C954" s="23"/>
      <c r="D954" s="23"/>
      <c r="E954" s="23"/>
      <c r="F954" s="23"/>
      <c r="G954" s="23"/>
      <c r="H954" s="23"/>
      <c r="I954" s="23"/>
      <c r="J954" s="23"/>
      <c r="K954" s="23"/>
      <c r="L954" s="23"/>
      <c r="M954" s="23"/>
      <c r="N954" s="23"/>
      <c r="O954" s="23"/>
      <c r="P954" s="23"/>
      <c r="Q954" s="23"/>
      <c r="R954" s="23"/>
      <c r="S954" s="23"/>
    </row>
    <row r="955" spans="1:19">
      <c r="A955" s="23"/>
      <c r="B955" s="23"/>
      <c r="C955" s="23"/>
      <c r="D955" s="23"/>
      <c r="E955" s="23"/>
      <c r="F955" s="23"/>
      <c r="G955" s="23"/>
      <c r="H955" s="23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</row>
    <row r="956" spans="1:19">
      <c r="A956" s="23"/>
      <c r="B956" s="23"/>
      <c r="C956" s="23"/>
      <c r="D956" s="23"/>
      <c r="E956" s="23"/>
      <c r="F956" s="23"/>
      <c r="G956" s="23"/>
      <c r="H956" s="23"/>
      <c r="I956" s="23"/>
      <c r="J956" s="23"/>
      <c r="K956" s="23"/>
      <c r="L956" s="23"/>
      <c r="M956" s="23"/>
      <c r="N956" s="23"/>
      <c r="O956" s="23"/>
      <c r="P956" s="23"/>
      <c r="Q956" s="23"/>
      <c r="R956" s="23"/>
      <c r="S956" s="23"/>
    </row>
    <row r="957" spans="1:19">
      <c r="A957" s="23"/>
      <c r="B957" s="23"/>
      <c r="C957" s="23"/>
      <c r="D957" s="23"/>
      <c r="E957" s="23"/>
      <c r="F957" s="23"/>
      <c r="G957" s="23"/>
      <c r="H957" s="23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</row>
    <row r="958" spans="1:19">
      <c r="A958" s="23"/>
      <c r="B958" s="23"/>
      <c r="C958" s="23"/>
      <c r="D958" s="23"/>
      <c r="E958" s="23"/>
      <c r="F958" s="23"/>
      <c r="G958" s="23"/>
      <c r="H958" s="23"/>
      <c r="I958" s="23"/>
      <c r="J958" s="23"/>
      <c r="K958" s="23"/>
      <c r="L958" s="23"/>
      <c r="M958" s="23"/>
      <c r="N958" s="23"/>
      <c r="O958" s="23"/>
      <c r="P958" s="23"/>
      <c r="Q958" s="23"/>
      <c r="R958" s="23"/>
      <c r="S958" s="23"/>
    </row>
    <row r="959" spans="1:19">
      <c r="A959" s="23"/>
      <c r="B959" s="23"/>
      <c r="C959" s="23"/>
      <c r="D959" s="23"/>
      <c r="E959" s="23"/>
      <c r="F959" s="23"/>
      <c r="G959" s="23"/>
      <c r="H959" s="23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</row>
    <row r="960" spans="1:19">
      <c r="A960" s="23"/>
      <c r="B960" s="23"/>
      <c r="C960" s="23"/>
      <c r="D960" s="23"/>
      <c r="E960" s="23"/>
      <c r="F960" s="23"/>
      <c r="G960" s="23"/>
      <c r="H960" s="23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</row>
    <row r="961" spans="1:19">
      <c r="A961" s="23"/>
      <c r="B961" s="23"/>
      <c r="C961" s="23"/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</row>
    <row r="962" spans="1:19">
      <c r="A962" s="23"/>
      <c r="B962" s="23"/>
      <c r="C962" s="23"/>
      <c r="D962" s="23"/>
      <c r="E962" s="23"/>
      <c r="F962" s="23"/>
      <c r="G962" s="23"/>
      <c r="H962" s="23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</row>
    <row r="963" spans="1:19">
      <c r="A963" s="23"/>
      <c r="B963" s="23"/>
      <c r="C963" s="23"/>
      <c r="D963" s="23"/>
      <c r="E963" s="23"/>
      <c r="F963" s="23"/>
      <c r="G963" s="23"/>
      <c r="H963" s="23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</row>
    <row r="964" spans="1:19">
      <c r="A964" s="23"/>
      <c r="B964" s="23"/>
      <c r="C964" s="23"/>
      <c r="D964" s="23"/>
      <c r="E964" s="23"/>
      <c r="F964" s="23"/>
      <c r="G964" s="23"/>
      <c r="H964" s="23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</row>
    <row r="965" spans="1:19">
      <c r="A965" s="23"/>
      <c r="B965" s="23"/>
      <c r="C965" s="23"/>
      <c r="D965" s="23"/>
      <c r="E965" s="23"/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</row>
    <row r="966" spans="1:19">
      <c r="A966" s="23"/>
      <c r="B966" s="23"/>
      <c r="C966" s="23"/>
      <c r="D966" s="23"/>
      <c r="E966" s="23"/>
      <c r="F966" s="23"/>
      <c r="G966" s="23"/>
      <c r="H966" s="23"/>
      <c r="I966" s="23"/>
      <c r="J966" s="23"/>
      <c r="K966" s="23"/>
      <c r="L966" s="23"/>
      <c r="M966" s="23"/>
      <c r="N966" s="23"/>
      <c r="O966" s="23"/>
      <c r="P966" s="23"/>
      <c r="Q966" s="23"/>
      <c r="R966" s="23"/>
      <c r="S966" s="23"/>
    </row>
    <row r="967" spans="1:19">
      <c r="A967" s="23"/>
      <c r="B967" s="23"/>
      <c r="C967" s="23"/>
      <c r="D967" s="23"/>
      <c r="E967" s="23"/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</row>
    <row r="968" spans="1:19">
      <c r="A968" s="23"/>
      <c r="B968" s="23"/>
      <c r="C968" s="23"/>
      <c r="D968" s="23"/>
      <c r="E968" s="23"/>
      <c r="F968" s="23"/>
      <c r="G968" s="23"/>
      <c r="H968" s="23"/>
      <c r="I968" s="23"/>
      <c r="J968" s="23"/>
      <c r="K968" s="23"/>
      <c r="L968" s="23"/>
      <c r="M968" s="23"/>
      <c r="N968" s="23"/>
      <c r="O968" s="23"/>
      <c r="P968" s="23"/>
      <c r="Q968" s="23"/>
      <c r="R968" s="23"/>
      <c r="S968" s="23"/>
    </row>
    <row r="969" spans="1:19">
      <c r="A969" s="23"/>
      <c r="B969" s="23"/>
      <c r="C969" s="23"/>
      <c r="D969" s="23"/>
      <c r="E969" s="23"/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</row>
    <row r="970" spans="1:19">
      <c r="A970" s="23"/>
      <c r="B970" s="23"/>
      <c r="C970" s="23"/>
      <c r="D970" s="23"/>
      <c r="E970" s="23"/>
      <c r="F970" s="23"/>
      <c r="G970" s="23"/>
      <c r="H970" s="23"/>
      <c r="I970" s="23"/>
      <c r="J970" s="23"/>
      <c r="K970" s="23"/>
      <c r="L970" s="23"/>
      <c r="M970" s="23"/>
      <c r="N970" s="23"/>
      <c r="O970" s="23"/>
      <c r="P970" s="23"/>
      <c r="Q970" s="23"/>
      <c r="R970" s="23"/>
      <c r="S970" s="23"/>
    </row>
    <row r="971" spans="1:19">
      <c r="A971" s="23"/>
      <c r="B971" s="23"/>
      <c r="C971" s="23"/>
      <c r="D971" s="23"/>
      <c r="E971" s="23"/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</row>
    <row r="972" spans="1:19">
      <c r="A972" s="23"/>
      <c r="B972" s="23"/>
      <c r="C972" s="23"/>
      <c r="D972" s="23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</row>
    <row r="973" spans="1:19">
      <c r="A973" s="23"/>
      <c r="B973" s="23"/>
      <c r="C973" s="23"/>
      <c r="D973" s="23"/>
      <c r="E973" s="23"/>
      <c r="F973" s="23"/>
      <c r="G973" s="23"/>
      <c r="H973" s="23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</row>
    <row r="974" spans="1:19">
      <c r="A974" s="23"/>
      <c r="B974" s="23"/>
      <c r="C974" s="23"/>
      <c r="D974" s="23"/>
      <c r="E974" s="23"/>
      <c r="F974" s="23"/>
      <c r="G974" s="23"/>
      <c r="H974" s="23"/>
      <c r="I974" s="23"/>
      <c r="J974" s="23"/>
      <c r="K974" s="23"/>
      <c r="L974" s="23"/>
      <c r="M974" s="23"/>
      <c r="N974" s="23"/>
      <c r="O974" s="23"/>
      <c r="P974" s="23"/>
      <c r="Q974" s="23"/>
      <c r="R974" s="23"/>
      <c r="S974" s="23"/>
    </row>
    <row r="975" spans="1:19">
      <c r="A975" s="23"/>
      <c r="B975" s="23"/>
      <c r="C975" s="23"/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</row>
    <row r="976" spans="1:19">
      <c r="A976" s="23"/>
      <c r="B976" s="23"/>
      <c r="C976" s="23"/>
      <c r="D976" s="23"/>
      <c r="E976" s="23"/>
      <c r="F976" s="23"/>
      <c r="G976" s="23"/>
      <c r="H976" s="23"/>
      <c r="I976" s="23"/>
      <c r="J976" s="23"/>
      <c r="K976" s="23"/>
      <c r="L976" s="23"/>
      <c r="M976" s="23"/>
      <c r="N976" s="23"/>
      <c r="O976" s="23"/>
      <c r="P976" s="23"/>
      <c r="Q976" s="23"/>
      <c r="R976" s="23"/>
      <c r="S976" s="23"/>
    </row>
    <row r="977" spans="1:19">
      <c r="A977" s="23"/>
      <c r="B977" s="23"/>
      <c r="C977" s="23"/>
      <c r="D977" s="23"/>
      <c r="E977" s="23"/>
      <c r="F977" s="23"/>
      <c r="G977" s="23"/>
      <c r="H977" s="23"/>
      <c r="I977" s="23"/>
      <c r="J977" s="23"/>
      <c r="K977" s="23"/>
      <c r="L977" s="23"/>
      <c r="M977" s="23"/>
      <c r="N977" s="23"/>
      <c r="O977" s="23"/>
      <c r="P977" s="23"/>
      <c r="Q977" s="23"/>
      <c r="R977" s="23"/>
      <c r="S977" s="23"/>
    </row>
    <row r="978" spans="1:19">
      <c r="A978" s="23"/>
      <c r="B978" s="23"/>
      <c r="C978" s="23"/>
      <c r="D978" s="23"/>
      <c r="E978" s="23"/>
      <c r="F978" s="23"/>
      <c r="G978" s="23"/>
      <c r="H978" s="23"/>
      <c r="I978" s="23"/>
      <c r="J978" s="23"/>
      <c r="K978" s="23"/>
      <c r="L978" s="23"/>
      <c r="M978" s="23"/>
      <c r="N978" s="23"/>
      <c r="O978" s="23"/>
      <c r="P978" s="23"/>
      <c r="Q978" s="23"/>
      <c r="R978" s="23"/>
      <c r="S978" s="23"/>
    </row>
    <row r="979" spans="1:19">
      <c r="A979" s="23"/>
      <c r="B979" s="23"/>
      <c r="C979" s="23"/>
      <c r="D979" s="23"/>
      <c r="E979" s="23"/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</row>
    <row r="980" spans="1:19">
      <c r="A980" s="23"/>
      <c r="B980" s="23"/>
      <c r="C980" s="23"/>
      <c r="D980" s="23"/>
      <c r="E980" s="23"/>
      <c r="F980" s="23"/>
      <c r="G980" s="23"/>
      <c r="H980" s="23"/>
      <c r="I980" s="23"/>
      <c r="J980" s="23"/>
      <c r="K980" s="23"/>
      <c r="L980" s="23"/>
      <c r="M980" s="23"/>
      <c r="N980" s="23"/>
      <c r="O980" s="23"/>
      <c r="P980" s="23"/>
      <c r="Q980" s="23"/>
      <c r="R980" s="23"/>
      <c r="S980" s="23"/>
    </row>
    <row r="981" spans="1:19">
      <c r="A981" s="23"/>
      <c r="B981" s="23"/>
      <c r="C981" s="23"/>
      <c r="D981" s="23"/>
      <c r="E981" s="23"/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</row>
    <row r="982" spans="1:19">
      <c r="A982" s="23"/>
      <c r="B982" s="23"/>
      <c r="C982" s="23"/>
      <c r="D982" s="23"/>
      <c r="E982" s="23"/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</row>
    <row r="983" spans="1:19">
      <c r="A983" s="23"/>
      <c r="B983" s="23"/>
      <c r="C983" s="23"/>
      <c r="D983" s="23"/>
      <c r="E983" s="23"/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</row>
    <row r="984" spans="1:19">
      <c r="A984" s="23"/>
      <c r="B984" s="23"/>
      <c r="C984" s="23"/>
      <c r="D984" s="23"/>
      <c r="E984" s="23"/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</row>
    <row r="985" spans="1:19">
      <c r="A985" s="23"/>
      <c r="B985" s="23"/>
      <c r="C985" s="23"/>
      <c r="D985" s="23"/>
      <c r="E985" s="23"/>
      <c r="F985" s="23"/>
      <c r="G985" s="23"/>
      <c r="H985" s="23"/>
      <c r="I985" s="23"/>
      <c r="J985" s="23"/>
      <c r="K985" s="23"/>
      <c r="L985" s="23"/>
      <c r="M985" s="23"/>
      <c r="N985" s="23"/>
      <c r="O985" s="23"/>
      <c r="P985" s="23"/>
      <c r="Q985" s="23"/>
      <c r="R985" s="23"/>
      <c r="S985" s="23"/>
    </row>
    <row r="986" spans="1:19">
      <c r="A986" s="23"/>
      <c r="B986" s="23"/>
      <c r="C986" s="23"/>
      <c r="D986" s="23"/>
      <c r="E986" s="23"/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23"/>
    </row>
    <row r="987" spans="1:19">
      <c r="A987" s="23"/>
      <c r="B987" s="23"/>
      <c r="C987" s="23"/>
      <c r="D987" s="23"/>
      <c r="E987" s="23"/>
      <c r="F987" s="23"/>
      <c r="G987" s="23"/>
      <c r="H987" s="23"/>
      <c r="I987" s="23"/>
      <c r="J987" s="23"/>
      <c r="K987" s="23"/>
      <c r="L987" s="23"/>
      <c r="M987" s="23"/>
      <c r="N987" s="23"/>
      <c r="O987" s="23"/>
      <c r="P987" s="23"/>
      <c r="Q987" s="23"/>
      <c r="R987" s="23"/>
      <c r="S987" s="23"/>
    </row>
    <row r="988" spans="1:19">
      <c r="A988" s="23"/>
      <c r="B988" s="23"/>
      <c r="C988" s="23"/>
      <c r="D988" s="23"/>
      <c r="E988" s="23"/>
      <c r="F988" s="23"/>
      <c r="G988" s="23"/>
      <c r="H988" s="23"/>
      <c r="I988" s="23"/>
      <c r="J988" s="23"/>
      <c r="K988" s="23"/>
      <c r="L988" s="23"/>
      <c r="M988" s="23"/>
      <c r="N988" s="23"/>
      <c r="O988" s="23"/>
      <c r="P988" s="23"/>
      <c r="Q988" s="23"/>
      <c r="R988" s="23"/>
      <c r="S988" s="23"/>
    </row>
    <row r="989" spans="1:19">
      <c r="A989" s="23"/>
      <c r="B989" s="23"/>
      <c r="C989" s="23"/>
      <c r="D989" s="23"/>
      <c r="E989" s="23"/>
      <c r="F989" s="23"/>
      <c r="G989" s="23"/>
      <c r="H989" s="23"/>
      <c r="I989" s="23"/>
      <c r="J989" s="23"/>
      <c r="K989" s="23"/>
      <c r="L989" s="23"/>
      <c r="M989" s="23"/>
      <c r="N989" s="23"/>
      <c r="O989" s="23"/>
      <c r="P989" s="23"/>
      <c r="Q989" s="23"/>
      <c r="R989" s="23"/>
      <c r="S989" s="23"/>
    </row>
    <row r="990" spans="1:19">
      <c r="A990" s="23"/>
      <c r="B990" s="23"/>
      <c r="C990" s="23"/>
      <c r="D990" s="23"/>
      <c r="E990" s="23"/>
      <c r="F990" s="23"/>
      <c r="G990" s="23"/>
      <c r="H990" s="23"/>
      <c r="I990" s="23"/>
      <c r="J990" s="23"/>
      <c r="K990" s="23"/>
      <c r="L990" s="23"/>
      <c r="M990" s="23"/>
      <c r="N990" s="23"/>
      <c r="O990" s="23"/>
      <c r="P990" s="23"/>
      <c r="Q990" s="23"/>
      <c r="R990" s="23"/>
      <c r="S990" s="23"/>
    </row>
    <row r="991" spans="1:19">
      <c r="A991" s="23"/>
      <c r="B991" s="23"/>
      <c r="C991" s="23"/>
      <c r="D991" s="23"/>
      <c r="E991" s="23"/>
      <c r="F991" s="23"/>
      <c r="G991" s="23"/>
      <c r="H991" s="23"/>
      <c r="I991" s="23"/>
      <c r="J991" s="23"/>
      <c r="K991" s="23"/>
      <c r="L991" s="23"/>
      <c r="M991" s="23"/>
      <c r="N991" s="23"/>
      <c r="O991" s="23"/>
      <c r="P991" s="23"/>
      <c r="Q991" s="23"/>
      <c r="R991" s="23"/>
      <c r="S991" s="23"/>
    </row>
    <row r="992" spans="1:19">
      <c r="A992" s="23"/>
      <c r="B992" s="23"/>
      <c r="C992" s="23"/>
      <c r="D992" s="23"/>
      <c r="E992" s="23"/>
      <c r="F992" s="23"/>
      <c r="G992" s="23"/>
      <c r="H992" s="23"/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</row>
    <row r="993" spans="1:19">
      <c r="A993" s="23"/>
      <c r="B993" s="23"/>
      <c r="C993" s="23"/>
      <c r="D993" s="23"/>
      <c r="E993" s="23"/>
      <c r="F993" s="23"/>
      <c r="G993" s="23"/>
      <c r="H993" s="23"/>
      <c r="I993" s="23"/>
      <c r="J993" s="23"/>
      <c r="K993" s="23"/>
      <c r="L993" s="23"/>
      <c r="M993" s="23"/>
      <c r="N993" s="23"/>
      <c r="O993" s="23"/>
      <c r="P993" s="23"/>
      <c r="Q993" s="23"/>
      <c r="R993" s="23"/>
      <c r="S993" s="23"/>
    </row>
    <row r="994" spans="1:19">
      <c r="A994" s="23"/>
      <c r="B994" s="23"/>
      <c r="C994" s="23"/>
      <c r="D994" s="23"/>
      <c r="E994" s="23"/>
      <c r="F994" s="23"/>
      <c r="G994" s="23"/>
      <c r="H994" s="23"/>
      <c r="I994" s="23"/>
      <c r="J994" s="23"/>
      <c r="K994" s="23"/>
      <c r="L994" s="23"/>
      <c r="M994" s="23"/>
      <c r="N994" s="23"/>
      <c r="O994" s="23"/>
      <c r="P994" s="23"/>
      <c r="Q994" s="23"/>
      <c r="R994" s="23"/>
      <c r="S994" s="23"/>
    </row>
    <row r="995" spans="1:19">
      <c r="A995" s="23"/>
      <c r="B995" s="23"/>
      <c r="C995" s="23"/>
      <c r="D995" s="23"/>
      <c r="E995" s="23"/>
      <c r="F995" s="23"/>
      <c r="G995" s="23"/>
      <c r="H995" s="23"/>
      <c r="I995" s="23"/>
      <c r="J995" s="23"/>
      <c r="K995" s="23"/>
      <c r="L995" s="23"/>
      <c r="M995" s="23"/>
      <c r="N995" s="23"/>
      <c r="O995" s="23"/>
      <c r="P995" s="23"/>
      <c r="Q995" s="23"/>
      <c r="R995" s="23"/>
      <c r="S995" s="23"/>
    </row>
    <row r="996" spans="1:19">
      <c r="A996" s="23"/>
      <c r="B996" s="23"/>
      <c r="C996" s="23"/>
      <c r="D996" s="23"/>
      <c r="E996" s="23"/>
      <c r="F996" s="23"/>
      <c r="G996" s="23"/>
      <c r="H996" s="23"/>
      <c r="I996" s="23"/>
      <c r="J996" s="23"/>
      <c r="K996" s="23"/>
      <c r="L996" s="23"/>
      <c r="M996" s="23"/>
      <c r="N996" s="23"/>
      <c r="O996" s="23"/>
      <c r="P996" s="23"/>
      <c r="Q996" s="23"/>
      <c r="R996" s="23"/>
      <c r="S996" s="23"/>
    </row>
    <row r="997" spans="1:19">
      <c r="A997" s="23"/>
      <c r="B997" s="23"/>
      <c r="C997" s="23"/>
      <c r="D997" s="23"/>
      <c r="E997" s="23"/>
      <c r="F997" s="23"/>
      <c r="G997" s="23"/>
      <c r="H997" s="23"/>
      <c r="I997" s="23"/>
      <c r="J997" s="23"/>
      <c r="K997" s="23"/>
      <c r="L997" s="23"/>
      <c r="M997" s="23"/>
      <c r="N997" s="23"/>
      <c r="O997" s="23"/>
      <c r="P997" s="23"/>
      <c r="Q997" s="23"/>
      <c r="R997" s="23"/>
      <c r="S997" s="23"/>
    </row>
    <row r="998" spans="1:19">
      <c r="A998" s="23"/>
      <c r="B998" s="23"/>
      <c r="C998" s="23"/>
      <c r="D998" s="23"/>
      <c r="E998" s="23"/>
      <c r="F998" s="23"/>
      <c r="G998" s="23"/>
      <c r="H998" s="23"/>
      <c r="I998" s="23"/>
      <c r="J998" s="23"/>
      <c r="K998" s="23"/>
      <c r="L998" s="23"/>
      <c r="M998" s="23"/>
      <c r="N998" s="23"/>
      <c r="O998" s="23"/>
      <c r="P998" s="23"/>
      <c r="Q998" s="23"/>
      <c r="R998" s="23"/>
      <c r="S998" s="23"/>
    </row>
    <row r="999" spans="1:19">
      <c r="A999" s="23"/>
      <c r="B999" s="23"/>
      <c r="C999" s="23"/>
      <c r="D999" s="23"/>
      <c r="E999" s="23"/>
      <c r="F999" s="23"/>
      <c r="G999" s="23"/>
      <c r="H999" s="23"/>
      <c r="I999" s="23"/>
      <c r="J999" s="23"/>
      <c r="K999" s="23"/>
      <c r="L999" s="23"/>
      <c r="M999" s="23"/>
      <c r="N999" s="23"/>
      <c r="O999" s="23"/>
      <c r="P999" s="23"/>
      <c r="Q999" s="23"/>
      <c r="R999" s="23"/>
      <c r="S999" s="23"/>
    </row>
    <row r="1000" spans="1:19">
      <c r="A1000" s="23"/>
      <c r="B1000" s="23"/>
      <c r="C1000" s="23"/>
      <c r="D1000" s="23"/>
      <c r="E1000" s="23"/>
      <c r="F1000" s="23"/>
      <c r="G1000" s="23"/>
      <c r="H1000" s="23"/>
      <c r="I1000" s="23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outlinePr summaryBelow="0" summaryRight="0"/>
  </sheetPr>
  <dimension ref="A1:S1000"/>
  <sheetViews>
    <sheetView workbookViewId="0"/>
  </sheetViews>
  <sheetFormatPr baseColWidth="10" defaultColWidth="11.1640625" defaultRowHeight="15" customHeight="1"/>
  <sheetData>
    <row r="1" spans="1:19">
      <c r="A1" s="23" t="str">
        <f ca="1">IFERROR(__xludf.DUMMYFUNCTION("IMPORTRANGE(""https://docs.google.com/spreadsheets/d/1g-h1aS3-3hlyBHv3TTw1_RiRJ9wIMFhsu0KL2nhJoII/edit?gid=226170794#gid=226170794"",""01!A1:S"")"),"INDICADORES")</f>
        <v>INDICADORES</v>
      </c>
      <c r="B1" s="23" t="str">
        <f ca="1">IFERROR(__xludf.DUMMYFUNCTION("""COMPUTED_VALUE"""),"META ANUAL")</f>
        <v>META ANUAL</v>
      </c>
      <c r="C1" s="23" t="str">
        <f ca="1">IFERROR(__xludf.DUMMYFUNCTION("""COMPUTED_VALUE"""),"UNIDAD DE MEDIDA")</f>
        <v>UNIDAD DE MEDIDA</v>
      </c>
      <c r="D1" s="23" t="str">
        <f ca="1">IFERROR(__xludf.DUMMYFUNCTION("""COMPUTED_VALUE"""),"TIPO DE INDICADOR")</f>
        <v>TIPO DE INDICADOR</v>
      </c>
      <c r="E1" s="23" t="str">
        <f ca="1">IFERROR(__xludf.DUMMYFUNCTION("""COMPUTED_VALUE"""),"MEDIO DE VERIFICACION")</f>
        <v>MEDIO DE VERIFICACION</v>
      </c>
      <c r="F1" s="23" t="str">
        <f ca="1">IFERROR(__xludf.DUMMYFUNCTION("""COMPUTED_VALUE"""),"% AVANCE ")</f>
        <v xml:space="preserve">% AVANCE </v>
      </c>
      <c r="G1" s="23" t="str">
        <f ca="1">IFERROR(__xludf.DUMMYFUNCTION("""COMPUTED_VALUE"""),"OCTUBRE")</f>
        <v>OCTUBRE</v>
      </c>
      <c r="H1" s="23" t="str">
        <f ca="1">IFERROR(__xludf.DUMMYFUNCTION("""COMPUTED_VALUE"""),"NOVIEMBRE")</f>
        <v>NOVIEMBRE</v>
      </c>
      <c r="I1" s="23" t="str">
        <f ca="1">IFERROR(__xludf.DUMMYFUNCTION("""COMPUTED_VALUE"""),"DICIEMBRE")</f>
        <v>DICIEMBRE</v>
      </c>
      <c r="J1" s="23" t="str">
        <f ca="1">IFERROR(__xludf.DUMMYFUNCTION("""COMPUTED_VALUE"""),"ENERO ")</f>
        <v xml:space="preserve">ENERO </v>
      </c>
      <c r="K1" s="23" t="str">
        <f ca="1">IFERROR(__xludf.DUMMYFUNCTION("""COMPUTED_VALUE"""),"FEBRERO")</f>
        <v>FEBRERO</v>
      </c>
      <c r="L1" s="23" t="str">
        <f ca="1">IFERROR(__xludf.DUMMYFUNCTION("""COMPUTED_VALUE"""),"MARZO")</f>
        <v>MARZO</v>
      </c>
      <c r="M1" s="23" t="str">
        <f ca="1">IFERROR(__xludf.DUMMYFUNCTION("""COMPUTED_VALUE"""),"ABRIL")</f>
        <v>ABRIL</v>
      </c>
      <c r="N1" s="23" t="str">
        <f ca="1">IFERROR(__xludf.DUMMYFUNCTION("""COMPUTED_VALUE"""),"MAYO")</f>
        <v>MAYO</v>
      </c>
      <c r="O1" s="23" t="str">
        <f ca="1">IFERROR(__xludf.DUMMYFUNCTION("""COMPUTED_VALUE"""),"JUNIO")</f>
        <v>JUNIO</v>
      </c>
      <c r="P1" s="23" t="str">
        <f ca="1">IFERROR(__xludf.DUMMYFUNCTION("""COMPUTED_VALUE"""),"JULIO")</f>
        <v>JULIO</v>
      </c>
      <c r="Q1" s="23" t="str">
        <f ca="1">IFERROR(__xludf.DUMMYFUNCTION("""COMPUTED_VALUE"""),"AGOSTO")</f>
        <v>AGOSTO</v>
      </c>
      <c r="R1" s="23" t="str">
        <f ca="1">IFERROR(__xludf.DUMMYFUNCTION("""COMPUTED_VALUE"""),"SEPTIEMBRE")</f>
        <v>SEPTIEMBRE</v>
      </c>
      <c r="S1" s="23" t="str">
        <f ca="1">IFERROR(__xludf.DUMMYFUNCTION("""COMPUTED_VALUE"""),"SUMATORIA TOTAL")</f>
        <v>SUMATORIA TOTAL</v>
      </c>
    </row>
    <row r="2" spans="1:19">
      <c r="A2" s="23" t="str">
        <f ca="1">IFERROR(__xludf.DUMMYFUNCTION("""COMPUTED_VALUE""")," SANCIONES  A LAS PERSONAS EN ESTADO DE EBRIEDAD O BAJO EL INFLUJO DE ALGUN ESTUPEFACIENTE.")</f>
        <v xml:space="preserve"> SANCIONES  A LAS PERSONAS EN ESTADO DE EBRIEDAD O BAJO EL INFLUJO DE ALGUN ESTUPEFACIENTE.</v>
      </c>
      <c r="B2" s="23">
        <f ca="1">IFERROR(__xludf.DUMMYFUNCTION("""COMPUTED_VALUE"""),1)</f>
        <v>1</v>
      </c>
      <c r="C2" s="23"/>
      <c r="D2" s="23" t="str">
        <f ca="1">IFERROR(__xludf.DUMMYFUNCTION("""COMPUTED_VALUE"""),"ASCENDENTE")</f>
        <v>ASCENDENTE</v>
      </c>
      <c r="E2" s="23" t="str">
        <f ca="1">IFERROR(__xludf.DUMMYFUNCTION("""COMPUTED_VALUE"""),"SESIONES PUBLICAS")</f>
        <v>SESIONES PUBLICAS</v>
      </c>
      <c r="F2" s="23">
        <f ca="1">IFERROR(__xludf.DUMMYFUNCTION("""COMPUTED_VALUE"""),0)</f>
        <v>0</v>
      </c>
      <c r="G2" s="23">
        <f ca="1">IFERROR(__xludf.DUMMYFUNCTION("""COMPUTED_VALUE"""),0)</f>
        <v>0</v>
      </c>
      <c r="H2" s="23">
        <f ca="1">IFERROR(__xludf.DUMMYFUNCTION("""COMPUTED_VALUE"""),0)</f>
        <v>0</v>
      </c>
      <c r="I2" s="23">
        <f ca="1">IFERROR(__xludf.DUMMYFUNCTION("""COMPUTED_VALUE"""),0)</f>
        <v>0</v>
      </c>
      <c r="J2" s="23">
        <f ca="1">IFERROR(__xludf.DUMMYFUNCTION("""COMPUTED_VALUE"""),0)</f>
        <v>0</v>
      </c>
      <c r="K2" s="23">
        <f ca="1">IFERROR(__xludf.DUMMYFUNCTION("""COMPUTED_VALUE"""),0)</f>
        <v>0</v>
      </c>
      <c r="L2" s="23">
        <f ca="1">IFERROR(__xludf.DUMMYFUNCTION("""COMPUTED_VALUE"""),0)</f>
        <v>0</v>
      </c>
      <c r="M2" s="23">
        <f ca="1">IFERROR(__xludf.DUMMYFUNCTION("""COMPUTED_VALUE"""),0)</f>
        <v>0</v>
      </c>
      <c r="N2" s="23">
        <f ca="1">IFERROR(__xludf.DUMMYFUNCTION("""COMPUTED_VALUE"""),0)</f>
        <v>0</v>
      </c>
      <c r="O2" s="23">
        <f ca="1">IFERROR(__xludf.DUMMYFUNCTION("""COMPUTED_VALUE"""),0)</f>
        <v>0</v>
      </c>
      <c r="P2" s="23">
        <f ca="1">IFERROR(__xludf.DUMMYFUNCTION("""COMPUTED_VALUE"""),0)</f>
        <v>0</v>
      </c>
      <c r="Q2" s="23">
        <f ca="1">IFERROR(__xludf.DUMMYFUNCTION("""COMPUTED_VALUE"""),0)</f>
        <v>0</v>
      </c>
      <c r="R2" s="23">
        <f ca="1">IFERROR(__xludf.DUMMYFUNCTION("""COMPUTED_VALUE"""),0)</f>
        <v>0</v>
      </c>
      <c r="S2" s="23">
        <f ca="1">IFERROR(__xludf.DUMMYFUNCTION("""COMPUTED_VALUE"""),0)</f>
        <v>0</v>
      </c>
    </row>
    <row r="3" spans="1:19">
      <c r="A3" s="23" t="str">
        <f ca="1">IFERROR(__xludf.DUMMYFUNCTION("""COMPUTED_VALUE"""),"SANCIONES POR CONSUMIR BEBIDAS ALCOHÓLICAS EN LUGARES PUBLICOS")</f>
        <v>SANCIONES POR CONSUMIR BEBIDAS ALCOHÓLICAS EN LUGARES PUBLICOS</v>
      </c>
      <c r="B3" s="23">
        <f ca="1">IFERROR(__xludf.DUMMYFUNCTION("""COMPUTED_VALUE"""),1)</f>
        <v>1</v>
      </c>
      <c r="C3" s="23"/>
      <c r="D3" s="23" t="str">
        <f ca="1">IFERROR(__xludf.DUMMYFUNCTION("""COMPUTED_VALUE"""),"ASCENDENTE")</f>
        <v>ASCENDENTE</v>
      </c>
      <c r="E3" s="23" t="str">
        <f ca="1">IFERROR(__xludf.DUMMYFUNCTION("""COMPUTED_VALUE"""),"BITACORA DE ATENCION")</f>
        <v>BITACORA DE ATENCION</v>
      </c>
      <c r="F3" s="23">
        <f ca="1">IFERROR(__xludf.DUMMYFUNCTION("""COMPUTED_VALUE"""),0)</f>
        <v>0</v>
      </c>
      <c r="G3" s="23">
        <f ca="1">IFERROR(__xludf.DUMMYFUNCTION("""COMPUTED_VALUE"""),0)</f>
        <v>0</v>
      </c>
      <c r="H3" s="23">
        <f ca="1">IFERROR(__xludf.DUMMYFUNCTION("""COMPUTED_VALUE"""),0)</f>
        <v>0</v>
      </c>
      <c r="I3" s="23">
        <f ca="1">IFERROR(__xludf.DUMMYFUNCTION("""COMPUTED_VALUE"""),0)</f>
        <v>0</v>
      </c>
      <c r="J3" s="23">
        <f ca="1">IFERROR(__xludf.DUMMYFUNCTION("""COMPUTED_VALUE"""),0)</f>
        <v>0</v>
      </c>
      <c r="K3" s="23">
        <f ca="1">IFERROR(__xludf.DUMMYFUNCTION("""COMPUTED_VALUE"""),0)</f>
        <v>0</v>
      </c>
      <c r="L3" s="23">
        <f ca="1">IFERROR(__xludf.DUMMYFUNCTION("""COMPUTED_VALUE"""),0)</f>
        <v>0</v>
      </c>
      <c r="M3" s="23">
        <f ca="1">IFERROR(__xludf.DUMMYFUNCTION("""COMPUTED_VALUE"""),0)</f>
        <v>0</v>
      </c>
      <c r="N3" s="23">
        <f ca="1">IFERROR(__xludf.DUMMYFUNCTION("""COMPUTED_VALUE"""),0)</f>
        <v>0</v>
      </c>
      <c r="O3" s="23">
        <f ca="1">IFERROR(__xludf.DUMMYFUNCTION("""COMPUTED_VALUE"""),0)</f>
        <v>0</v>
      </c>
      <c r="P3" s="23">
        <f ca="1">IFERROR(__xludf.DUMMYFUNCTION("""COMPUTED_VALUE"""),0)</f>
        <v>0</v>
      </c>
      <c r="Q3" s="23">
        <f ca="1">IFERROR(__xludf.DUMMYFUNCTION("""COMPUTED_VALUE"""),0)</f>
        <v>0</v>
      </c>
      <c r="R3" s="23">
        <f ca="1">IFERROR(__xludf.DUMMYFUNCTION("""COMPUTED_VALUE"""),0)</f>
        <v>0</v>
      </c>
      <c r="S3" s="23">
        <f ca="1">IFERROR(__xludf.DUMMYFUNCTION("""COMPUTED_VALUE"""),0)</f>
        <v>0</v>
      </c>
    </row>
    <row r="4" spans="1:19">
      <c r="A4" s="23" t="str">
        <f ca="1">IFERROR(__xludf.DUMMYFUNCTION("""COMPUTED_VALUE"""),"SANCIONES POR CONSUMIR SUSTANCIAS QUE PROVOQUEN DEPENDENCIA EN LUGARES PÚBLICOS")</f>
        <v>SANCIONES POR CONSUMIR SUSTANCIAS QUE PROVOQUEN DEPENDENCIA EN LUGARES PÚBLICOS</v>
      </c>
      <c r="B4" s="23">
        <f ca="1">IFERROR(__xludf.DUMMYFUNCTION("""COMPUTED_VALUE"""),1)</f>
        <v>1</v>
      </c>
      <c r="C4" s="23"/>
      <c r="D4" s="23" t="str">
        <f ca="1">IFERROR(__xludf.DUMMYFUNCTION("""COMPUTED_VALUE"""),"ASCENDENTE")</f>
        <v>ASCENDENTE</v>
      </c>
      <c r="E4" s="23" t="str">
        <f ca="1">IFERROR(__xludf.DUMMYFUNCTION("""COMPUTED_VALUE"""),"BITACORA DE ATENCION")</f>
        <v>BITACORA DE ATENCION</v>
      </c>
      <c r="F4" s="23">
        <f ca="1">IFERROR(__xludf.DUMMYFUNCTION("""COMPUTED_VALUE"""),0)</f>
        <v>0</v>
      </c>
      <c r="G4" s="23">
        <f ca="1">IFERROR(__xludf.DUMMYFUNCTION("""COMPUTED_VALUE"""),0)</f>
        <v>0</v>
      </c>
      <c r="H4" s="23">
        <f ca="1">IFERROR(__xludf.DUMMYFUNCTION("""COMPUTED_VALUE"""),0)</f>
        <v>0</v>
      </c>
      <c r="I4" s="23">
        <f ca="1">IFERROR(__xludf.DUMMYFUNCTION("""COMPUTED_VALUE"""),0)</f>
        <v>0</v>
      </c>
      <c r="J4" s="23">
        <f ca="1">IFERROR(__xludf.DUMMYFUNCTION("""COMPUTED_VALUE"""),0)</f>
        <v>0</v>
      </c>
      <c r="K4" s="23">
        <f ca="1">IFERROR(__xludf.DUMMYFUNCTION("""COMPUTED_VALUE"""),0)</f>
        <v>0</v>
      </c>
      <c r="L4" s="23">
        <f ca="1">IFERROR(__xludf.DUMMYFUNCTION("""COMPUTED_VALUE"""),0)</f>
        <v>0</v>
      </c>
      <c r="M4" s="23">
        <f ca="1">IFERROR(__xludf.DUMMYFUNCTION("""COMPUTED_VALUE"""),0)</f>
        <v>0</v>
      </c>
      <c r="N4" s="23">
        <f ca="1">IFERROR(__xludf.DUMMYFUNCTION("""COMPUTED_VALUE"""),0)</f>
        <v>0</v>
      </c>
      <c r="O4" s="23">
        <f ca="1">IFERROR(__xludf.DUMMYFUNCTION("""COMPUTED_VALUE"""),0)</f>
        <v>0</v>
      </c>
      <c r="P4" s="23">
        <f ca="1">IFERROR(__xludf.DUMMYFUNCTION("""COMPUTED_VALUE"""),0)</f>
        <v>0</v>
      </c>
      <c r="Q4" s="23">
        <f ca="1">IFERROR(__xludf.DUMMYFUNCTION("""COMPUTED_VALUE"""),0)</f>
        <v>0</v>
      </c>
      <c r="R4" s="23">
        <f ca="1">IFERROR(__xludf.DUMMYFUNCTION("""COMPUTED_VALUE"""),0)</f>
        <v>0</v>
      </c>
      <c r="S4" s="23">
        <f ca="1">IFERROR(__xludf.DUMMYFUNCTION("""COMPUTED_VALUE"""),0)</f>
        <v>0</v>
      </c>
    </row>
    <row r="5" spans="1:19">
      <c r="A5" s="23" t="str">
        <f ca="1">IFERROR(__xludf.DUMMYFUNCTION("""COMPUTED_VALUE"""),"SANCIONES POR CONDUCIR VEHICULOS EN ESTADO DE EBRIEDAD O BAJO EL INFLUJO DE SUSTANCIAS QUE PROVOQUEN DEPENDENCIA")</f>
        <v>SANCIONES POR CONDUCIR VEHICULOS EN ESTADO DE EBRIEDAD O BAJO EL INFLUJO DE SUSTANCIAS QUE PROVOQUEN DEPENDENCIA</v>
      </c>
      <c r="B5" s="23">
        <f ca="1">IFERROR(__xludf.DUMMYFUNCTION("""COMPUTED_VALUE"""),1)</f>
        <v>1</v>
      </c>
      <c r="C5" s="23"/>
      <c r="D5" s="23" t="str">
        <f ca="1">IFERROR(__xludf.DUMMYFUNCTION("""COMPUTED_VALUE"""),"ASCENDENTE")</f>
        <v>ASCENDENTE</v>
      </c>
      <c r="E5" s="23" t="str">
        <f ca="1">IFERROR(__xludf.DUMMYFUNCTION("""COMPUTED_VALUE"""),"BITACORA OPERATIVA")</f>
        <v>BITACORA OPERATIVA</v>
      </c>
      <c r="F5" s="23">
        <f ca="1">IFERROR(__xludf.DUMMYFUNCTION("""COMPUTED_VALUE"""),0)</f>
        <v>0</v>
      </c>
      <c r="G5" s="23">
        <f ca="1">IFERROR(__xludf.DUMMYFUNCTION("""COMPUTED_VALUE"""),0)</f>
        <v>0</v>
      </c>
      <c r="H5" s="23">
        <f ca="1">IFERROR(__xludf.DUMMYFUNCTION("""COMPUTED_VALUE"""),0)</f>
        <v>0</v>
      </c>
      <c r="I5" s="23">
        <f ca="1">IFERROR(__xludf.DUMMYFUNCTION("""COMPUTED_VALUE"""),0)</f>
        <v>0</v>
      </c>
      <c r="J5" s="23">
        <f ca="1">IFERROR(__xludf.DUMMYFUNCTION("""COMPUTED_VALUE"""),0)</f>
        <v>0</v>
      </c>
      <c r="K5" s="23">
        <f ca="1">IFERROR(__xludf.DUMMYFUNCTION("""COMPUTED_VALUE"""),0)</f>
        <v>0</v>
      </c>
      <c r="L5" s="23">
        <f ca="1">IFERROR(__xludf.DUMMYFUNCTION("""COMPUTED_VALUE"""),0)</f>
        <v>0</v>
      </c>
      <c r="M5" s="23">
        <f ca="1">IFERROR(__xludf.DUMMYFUNCTION("""COMPUTED_VALUE"""),0)</f>
        <v>0</v>
      </c>
      <c r="N5" s="23">
        <f ca="1">IFERROR(__xludf.DUMMYFUNCTION("""COMPUTED_VALUE"""),0)</f>
        <v>0</v>
      </c>
      <c r="O5" s="23">
        <f ca="1">IFERROR(__xludf.DUMMYFUNCTION("""COMPUTED_VALUE"""),0)</f>
        <v>0</v>
      </c>
      <c r="P5" s="23">
        <f ca="1">IFERROR(__xludf.DUMMYFUNCTION("""COMPUTED_VALUE"""),0)</f>
        <v>0</v>
      </c>
      <c r="Q5" s="23">
        <f ca="1">IFERROR(__xludf.DUMMYFUNCTION("""COMPUTED_VALUE"""),0)</f>
        <v>0</v>
      </c>
      <c r="R5" s="23">
        <f ca="1">IFERROR(__xludf.DUMMYFUNCTION("""COMPUTED_VALUE"""),0)</f>
        <v>0</v>
      </c>
      <c r="S5" s="23">
        <f ca="1">IFERROR(__xludf.DUMMYFUNCTION("""COMPUTED_VALUE"""),0)</f>
        <v>0</v>
      </c>
    </row>
    <row r="6" spans="1:19">
      <c r="A6" s="23" t="str">
        <f ca="1">IFERROR(__xludf.DUMMYFUNCTION("""COMPUTED_VALUE"""),"OTRAS INFRACCIONES RELACIONADAS AL CONSUMO    Y/O SUMINISTRO DE SUSTANCIAS QUE ALTERAN LA SALUD Y ESTADO FÍSICO")</f>
        <v>OTRAS INFRACCIONES RELACIONADAS AL CONSUMO    Y/O SUMINISTRO DE SUSTANCIAS QUE ALTERAN LA SALUD Y ESTADO FÍSICO</v>
      </c>
      <c r="B6" s="23">
        <f ca="1">IFERROR(__xludf.DUMMYFUNCTION("""COMPUTED_VALUE"""),1)</f>
        <v>1</v>
      </c>
      <c r="C6" s="23"/>
      <c r="D6" s="23" t="str">
        <f ca="1">IFERROR(__xludf.DUMMYFUNCTION("""COMPUTED_VALUE"""),"ASCENDENTE")</f>
        <v>ASCENDENTE</v>
      </c>
      <c r="E6" s="23" t="str">
        <f ca="1">IFERROR(__xludf.DUMMYFUNCTION("""COMPUTED_VALUE"""),"BITACORA OPERATIVA")</f>
        <v>BITACORA OPERATIVA</v>
      </c>
      <c r="F6" s="23">
        <f ca="1">IFERROR(__xludf.DUMMYFUNCTION("""COMPUTED_VALUE"""),0)</f>
        <v>0</v>
      </c>
      <c r="G6" s="23">
        <f ca="1">IFERROR(__xludf.DUMMYFUNCTION("""COMPUTED_VALUE"""),0)</f>
        <v>0</v>
      </c>
      <c r="H6" s="23">
        <f ca="1">IFERROR(__xludf.DUMMYFUNCTION("""COMPUTED_VALUE"""),0)</f>
        <v>0</v>
      </c>
      <c r="I6" s="23">
        <f ca="1">IFERROR(__xludf.DUMMYFUNCTION("""COMPUTED_VALUE"""),0)</f>
        <v>0</v>
      </c>
      <c r="J6" s="23">
        <f ca="1">IFERROR(__xludf.DUMMYFUNCTION("""COMPUTED_VALUE"""),0)</f>
        <v>0</v>
      </c>
      <c r="K6" s="23">
        <f ca="1">IFERROR(__xludf.DUMMYFUNCTION("""COMPUTED_VALUE"""),0)</f>
        <v>0</v>
      </c>
      <c r="L6" s="23">
        <f ca="1">IFERROR(__xludf.DUMMYFUNCTION("""COMPUTED_VALUE"""),0)</f>
        <v>0</v>
      </c>
      <c r="M6" s="23">
        <f ca="1">IFERROR(__xludf.DUMMYFUNCTION("""COMPUTED_VALUE"""),0)</f>
        <v>0</v>
      </c>
      <c r="N6" s="23">
        <f ca="1">IFERROR(__xludf.DUMMYFUNCTION("""COMPUTED_VALUE"""),0)</f>
        <v>0</v>
      </c>
      <c r="O6" s="23">
        <f ca="1">IFERROR(__xludf.DUMMYFUNCTION("""COMPUTED_VALUE"""),0)</f>
        <v>0</v>
      </c>
      <c r="P6" s="23">
        <f ca="1">IFERROR(__xludf.DUMMYFUNCTION("""COMPUTED_VALUE"""),0)</f>
        <v>0</v>
      </c>
      <c r="Q6" s="23">
        <f ca="1">IFERROR(__xludf.DUMMYFUNCTION("""COMPUTED_VALUE"""),0)</f>
        <v>0</v>
      </c>
      <c r="R6" s="23">
        <f ca="1">IFERROR(__xludf.DUMMYFUNCTION("""COMPUTED_VALUE"""),0)</f>
        <v>0</v>
      </c>
      <c r="S6" s="23">
        <f ca="1">IFERROR(__xludf.DUMMYFUNCTION("""COMPUTED_VALUE"""),0)</f>
        <v>0</v>
      </c>
    </row>
    <row r="7" spans="1:19">
      <c r="A7" s="23" t="str">
        <f ca="1">IFERROR(__xludf.DUMMYFUNCTION("""COMPUTED_VALUE"""),"SANCIONES POR CAUSAR AFECTACIÓN A BIENES DE PROPIEDAD PARTICULAR")</f>
        <v>SANCIONES POR CAUSAR AFECTACIÓN A BIENES DE PROPIEDAD PARTICULAR</v>
      </c>
      <c r="B7" s="23">
        <f ca="1">IFERROR(__xludf.DUMMYFUNCTION("""COMPUTED_VALUE"""),1)</f>
        <v>1</v>
      </c>
      <c r="C7" s="23"/>
      <c r="D7" s="23" t="str">
        <f ca="1">IFERROR(__xludf.DUMMYFUNCTION("""COMPUTED_VALUE"""),"ASCENDENTE")</f>
        <v>ASCENDENTE</v>
      </c>
      <c r="E7" s="23" t="str">
        <f ca="1">IFERROR(__xludf.DUMMYFUNCTION("""COMPUTED_VALUE"""),"BITACORA OPERATIVA")</f>
        <v>BITACORA OPERATIVA</v>
      </c>
      <c r="F7" s="23">
        <f ca="1">IFERROR(__xludf.DUMMYFUNCTION("""COMPUTED_VALUE"""),0)</f>
        <v>0</v>
      </c>
      <c r="G7" s="23">
        <f ca="1">IFERROR(__xludf.DUMMYFUNCTION("""COMPUTED_VALUE"""),0)</f>
        <v>0</v>
      </c>
      <c r="H7" s="23">
        <f ca="1">IFERROR(__xludf.DUMMYFUNCTION("""COMPUTED_VALUE"""),0)</f>
        <v>0</v>
      </c>
      <c r="I7" s="23">
        <f ca="1">IFERROR(__xludf.DUMMYFUNCTION("""COMPUTED_VALUE"""),0)</f>
        <v>0</v>
      </c>
      <c r="J7" s="23">
        <f ca="1">IFERROR(__xludf.DUMMYFUNCTION("""COMPUTED_VALUE"""),0)</f>
        <v>0</v>
      </c>
      <c r="K7" s="23">
        <f ca="1">IFERROR(__xludf.DUMMYFUNCTION("""COMPUTED_VALUE"""),0)</f>
        <v>0</v>
      </c>
      <c r="L7" s="23">
        <f ca="1">IFERROR(__xludf.DUMMYFUNCTION("""COMPUTED_VALUE"""),0)</f>
        <v>0</v>
      </c>
      <c r="M7" s="23">
        <f ca="1">IFERROR(__xludf.DUMMYFUNCTION("""COMPUTED_VALUE"""),0)</f>
        <v>0</v>
      </c>
      <c r="N7" s="23">
        <f ca="1">IFERROR(__xludf.DUMMYFUNCTION("""COMPUTED_VALUE"""),0)</f>
        <v>0</v>
      </c>
      <c r="O7" s="23">
        <f ca="1">IFERROR(__xludf.DUMMYFUNCTION("""COMPUTED_VALUE"""),0)</f>
        <v>0</v>
      </c>
      <c r="P7" s="23">
        <f ca="1">IFERROR(__xludf.DUMMYFUNCTION("""COMPUTED_VALUE"""),0)</f>
        <v>0</v>
      </c>
      <c r="Q7" s="23">
        <f ca="1">IFERROR(__xludf.DUMMYFUNCTION("""COMPUTED_VALUE"""),0)</f>
        <v>0</v>
      </c>
      <c r="R7" s="23">
        <f ca="1">IFERROR(__xludf.DUMMYFUNCTION("""COMPUTED_VALUE"""),0)</f>
        <v>0</v>
      </c>
      <c r="S7" s="23">
        <f ca="1">IFERROR(__xludf.DUMMYFUNCTION("""COMPUTED_VALUE"""),0)</f>
        <v>0</v>
      </c>
    </row>
    <row r="8" spans="1:19">
      <c r="A8" s="23" t="str">
        <f ca="1">IFERROR(__xludf.DUMMYFUNCTION("""COMPUTED_VALUE"""),"SANCIONES POR PROVOCAR DAÑO A BIENES DE PROPIEDAD MUNICIPAL O DELEGACIONAL")</f>
        <v>SANCIONES POR PROVOCAR DAÑO A BIENES DE PROPIEDAD MUNICIPAL O DELEGACIONAL</v>
      </c>
      <c r="B8" s="23">
        <f ca="1">IFERROR(__xludf.DUMMYFUNCTION("""COMPUTED_VALUE"""),1)</f>
        <v>1</v>
      </c>
      <c r="C8" s="23"/>
      <c r="D8" s="23" t="str">
        <f ca="1">IFERROR(__xludf.DUMMYFUNCTION("""COMPUTED_VALUE"""),"ASCENDENTE")</f>
        <v>ASCENDENTE</v>
      </c>
      <c r="E8" s="23" t="str">
        <f ca="1">IFERROR(__xludf.DUMMYFUNCTION("""COMPUTED_VALUE"""),"BITACORA OPERATIVA")</f>
        <v>BITACORA OPERATIVA</v>
      </c>
      <c r="F8" s="23">
        <f ca="1">IFERROR(__xludf.DUMMYFUNCTION("""COMPUTED_VALUE"""),0)</f>
        <v>0</v>
      </c>
      <c r="G8" s="23">
        <f ca="1">IFERROR(__xludf.DUMMYFUNCTION("""COMPUTED_VALUE"""),0)</f>
        <v>0</v>
      </c>
      <c r="H8" s="23">
        <f ca="1">IFERROR(__xludf.DUMMYFUNCTION("""COMPUTED_VALUE"""),0)</f>
        <v>0</v>
      </c>
      <c r="I8" s="23">
        <f ca="1">IFERROR(__xludf.DUMMYFUNCTION("""COMPUTED_VALUE"""),0)</f>
        <v>0</v>
      </c>
      <c r="J8" s="23">
        <f ca="1">IFERROR(__xludf.DUMMYFUNCTION("""COMPUTED_VALUE"""),0)</f>
        <v>0</v>
      </c>
      <c r="K8" s="23">
        <f ca="1">IFERROR(__xludf.DUMMYFUNCTION("""COMPUTED_VALUE"""),0)</f>
        <v>0</v>
      </c>
      <c r="L8" s="23">
        <f ca="1">IFERROR(__xludf.DUMMYFUNCTION("""COMPUTED_VALUE"""),0)</f>
        <v>0</v>
      </c>
      <c r="M8" s="23">
        <f ca="1">IFERROR(__xludf.DUMMYFUNCTION("""COMPUTED_VALUE"""),0)</f>
        <v>0</v>
      </c>
      <c r="N8" s="23">
        <f ca="1">IFERROR(__xludf.DUMMYFUNCTION("""COMPUTED_VALUE"""),0)</f>
        <v>0</v>
      </c>
      <c r="O8" s="23">
        <f ca="1">IFERROR(__xludf.DUMMYFUNCTION("""COMPUTED_VALUE"""),0)</f>
        <v>0</v>
      </c>
      <c r="P8" s="23">
        <f ca="1">IFERROR(__xludf.DUMMYFUNCTION("""COMPUTED_VALUE"""),0)</f>
        <v>0</v>
      </c>
      <c r="Q8" s="23">
        <f ca="1">IFERROR(__xludf.DUMMYFUNCTION("""COMPUTED_VALUE"""),0)</f>
        <v>0</v>
      </c>
      <c r="R8" s="23">
        <f ca="1">IFERROR(__xludf.DUMMYFUNCTION("""COMPUTED_VALUE"""),0)</f>
        <v>0</v>
      </c>
      <c r="S8" s="23">
        <f ca="1">IFERROR(__xludf.DUMMYFUNCTION("""COMPUTED_VALUE"""),0)</f>
        <v>0</v>
      </c>
    </row>
    <row r="9" spans="1:19">
      <c r="A9" s="23" t="str">
        <f ca="1">IFERROR(__xludf.DUMMYFUNCTION("""COMPUTED_VALUE"""),"SANCIONES POR OTRAS INFRACCIONES RELACIONADAS CON EL DAÑO A LAS COSAS (EN CONTRA DE LA PROPIEDAD PRIVADA O DE DOMINIO PÚBLICO).")</f>
        <v>SANCIONES POR OTRAS INFRACCIONES RELACIONADAS CON EL DAÑO A LAS COSAS (EN CONTRA DE LA PROPIEDAD PRIVADA O DE DOMINIO PÚBLICO).</v>
      </c>
      <c r="B9" s="23">
        <f ca="1">IFERROR(__xludf.DUMMYFUNCTION("""COMPUTED_VALUE"""),1)</f>
        <v>1</v>
      </c>
      <c r="C9" s="23"/>
      <c r="D9" s="23" t="str">
        <f ca="1">IFERROR(__xludf.DUMMYFUNCTION("""COMPUTED_VALUE"""),"ASCENDENTE")</f>
        <v>ASCENDENTE</v>
      </c>
      <c r="E9" s="23" t="str">
        <f ca="1">IFERROR(__xludf.DUMMYFUNCTION("""COMPUTED_VALUE"""),"BITACORA OPERATIVA")</f>
        <v>BITACORA OPERATIVA</v>
      </c>
      <c r="F9" s="23">
        <f ca="1">IFERROR(__xludf.DUMMYFUNCTION("""COMPUTED_VALUE"""),0)</f>
        <v>0</v>
      </c>
      <c r="G9" s="23">
        <f ca="1">IFERROR(__xludf.DUMMYFUNCTION("""COMPUTED_VALUE"""),0)</f>
        <v>0</v>
      </c>
      <c r="H9" s="23">
        <f ca="1">IFERROR(__xludf.DUMMYFUNCTION("""COMPUTED_VALUE"""),0)</f>
        <v>0</v>
      </c>
      <c r="I9" s="23">
        <f ca="1">IFERROR(__xludf.DUMMYFUNCTION("""COMPUTED_VALUE"""),0)</f>
        <v>0</v>
      </c>
      <c r="J9" s="23">
        <f ca="1">IFERROR(__xludf.DUMMYFUNCTION("""COMPUTED_VALUE"""),0)</f>
        <v>0</v>
      </c>
      <c r="K9" s="23">
        <f ca="1">IFERROR(__xludf.DUMMYFUNCTION("""COMPUTED_VALUE"""),0)</f>
        <v>0</v>
      </c>
      <c r="L9" s="23">
        <f ca="1">IFERROR(__xludf.DUMMYFUNCTION("""COMPUTED_VALUE"""),0)</f>
        <v>0</v>
      </c>
      <c r="M9" s="23">
        <f ca="1">IFERROR(__xludf.DUMMYFUNCTION("""COMPUTED_VALUE"""),0)</f>
        <v>0</v>
      </c>
      <c r="N9" s="23">
        <f ca="1">IFERROR(__xludf.DUMMYFUNCTION("""COMPUTED_VALUE"""),0)</f>
        <v>0</v>
      </c>
      <c r="O9" s="23">
        <f ca="1">IFERROR(__xludf.DUMMYFUNCTION("""COMPUTED_VALUE"""),0)</f>
        <v>0</v>
      </c>
      <c r="P9" s="23">
        <f ca="1">IFERROR(__xludf.DUMMYFUNCTION("""COMPUTED_VALUE"""),0)</f>
        <v>0</v>
      </c>
      <c r="Q9" s="23">
        <f ca="1">IFERROR(__xludf.DUMMYFUNCTION("""COMPUTED_VALUE"""),0)</f>
        <v>0</v>
      </c>
      <c r="R9" s="23">
        <f ca="1">IFERROR(__xludf.DUMMYFUNCTION("""COMPUTED_VALUE"""),0)</f>
        <v>0</v>
      </c>
      <c r="S9" s="23">
        <f ca="1">IFERROR(__xludf.DUMMYFUNCTION("""COMPUTED_VALUE"""),0)</f>
        <v>0</v>
      </c>
    </row>
    <row r="10" spans="1:19">
      <c r="A10" s="23" t="str">
        <f ca="1">IFERROR(__xludf.DUMMYFUNCTION("""COMPUTED_VALUE"""),"SANCIONES POR AGREDIR FISICA O VERBALMENTE A LOS ELEMENTOS OPERATIVOS")</f>
        <v>SANCIONES POR AGREDIR FISICA O VERBALMENTE A LOS ELEMENTOS OPERATIVOS</v>
      </c>
      <c r="B10" s="23">
        <f ca="1">IFERROR(__xludf.DUMMYFUNCTION("""COMPUTED_VALUE"""),1)</f>
        <v>1</v>
      </c>
      <c r="C10" s="23"/>
      <c r="D10" s="23" t="str">
        <f ca="1">IFERROR(__xludf.DUMMYFUNCTION("""COMPUTED_VALUE"""),"ASCENDENTE")</f>
        <v>ASCENDENTE</v>
      </c>
      <c r="E10" s="23" t="str">
        <f ca="1">IFERROR(__xludf.DUMMYFUNCTION("""COMPUTED_VALUE"""),"BITACORA OPERATIVA")</f>
        <v>BITACORA OPERATIVA</v>
      </c>
      <c r="F10" s="23">
        <f ca="1">IFERROR(__xludf.DUMMYFUNCTION("""COMPUTED_VALUE"""),0)</f>
        <v>0</v>
      </c>
      <c r="G10" s="23">
        <f ca="1">IFERROR(__xludf.DUMMYFUNCTION("""COMPUTED_VALUE"""),0)</f>
        <v>0</v>
      </c>
      <c r="H10" s="23">
        <f ca="1">IFERROR(__xludf.DUMMYFUNCTION("""COMPUTED_VALUE"""),0)</f>
        <v>0</v>
      </c>
      <c r="I10" s="23">
        <f ca="1">IFERROR(__xludf.DUMMYFUNCTION("""COMPUTED_VALUE"""),0)</f>
        <v>0</v>
      </c>
      <c r="J10" s="23">
        <f ca="1">IFERROR(__xludf.DUMMYFUNCTION("""COMPUTED_VALUE"""),0)</f>
        <v>0</v>
      </c>
      <c r="K10" s="23">
        <f ca="1">IFERROR(__xludf.DUMMYFUNCTION("""COMPUTED_VALUE"""),0)</f>
        <v>0</v>
      </c>
      <c r="L10" s="23">
        <f ca="1">IFERROR(__xludf.DUMMYFUNCTION("""COMPUTED_VALUE"""),0)</f>
        <v>0</v>
      </c>
      <c r="M10" s="23">
        <f ca="1">IFERROR(__xludf.DUMMYFUNCTION("""COMPUTED_VALUE"""),0)</f>
        <v>0</v>
      </c>
      <c r="N10" s="23">
        <f ca="1">IFERROR(__xludf.DUMMYFUNCTION("""COMPUTED_VALUE"""),0)</f>
        <v>0</v>
      </c>
      <c r="O10" s="23">
        <f ca="1">IFERROR(__xludf.DUMMYFUNCTION("""COMPUTED_VALUE"""),0)</f>
        <v>0</v>
      </c>
      <c r="P10" s="23">
        <f ca="1">IFERROR(__xludf.DUMMYFUNCTION("""COMPUTED_VALUE"""),0)</f>
        <v>0</v>
      </c>
      <c r="Q10" s="23">
        <f ca="1">IFERROR(__xludf.DUMMYFUNCTION("""COMPUTED_VALUE"""),0)</f>
        <v>0</v>
      </c>
      <c r="R10" s="23">
        <f ca="1">IFERROR(__xludf.DUMMYFUNCTION("""COMPUTED_VALUE"""),0)</f>
        <v>0</v>
      </c>
      <c r="S10" s="23">
        <f ca="1">IFERROR(__xludf.DUMMYFUNCTION("""COMPUTED_VALUE"""),0)</f>
        <v>0</v>
      </c>
    </row>
    <row r="11" spans="1:19">
      <c r="A11" s="23" t="str">
        <f ca="1">IFERROR(__xludf.DUMMYFUNCTION("""COMPUTED_VALUE"""),"SANCIONES RELACIONADAS A OTRAS INFRACCIONES RELACIONADAS AL CONSUMO    Y/O SUMINISTRO DE SUSTANCIAS QUE ALTERAN LA SALUD Y ESTADO FÍSICO")</f>
        <v>SANCIONES RELACIONADAS A OTRAS INFRACCIONES RELACIONADAS AL CONSUMO    Y/O SUMINISTRO DE SUSTANCIAS QUE ALTERAN LA SALUD Y ESTADO FÍSICO</v>
      </c>
      <c r="B11" s="23">
        <f ca="1">IFERROR(__xludf.DUMMYFUNCTION("""COMPUTED_VALUE"""),1)</f>
        <v>1</v>
      </c>
      <c r="C11" s="23"/>
      <c r="D11" s="23" t="str">
        <f ca="1">IFERROR(__xludf.DUMMYFUNCTION("""COMPUTED_VALUE"""),"ASCENDENTE")</f>
        <v>ASCENDENTE</v>
      </c>
      <c r="E11" s="23" t="str">
        <f ca="1">IFERROR(__xludf.DUMMYFUNCTION("""COMPUTED_VALUE"""),"BITACORA OPERATIVA")</f>
        <v>BITACORA OPERATIVA</v>
      </c>
      <c r="F11" s="23">
        <f ca="1">IFERROR(__xludf.DUMMYFUNCTION("""COMPUTED_VALUE"""),0)</f>
        <v>0</v>
      </c>
      <c r="G11" s="23">
        <f ca="1">IFERROR(__xludf.DUMMYFUNCTION("""COMPUTED_VALUE"""),0)</f>
        <v>0</v>
      </c>
      <c r="H11" s="23">
        <f ca="1">IFERROR(__xludf.DUMMYFUNCTION("""COMPUTED_VALUE"""),0)</f>
        <v>0</v>
      </c>
      <c r="I11" s="23">
        <f ca="1">IFERROR(__xludf.DUMMYFUNCTION("""COMPUTED_VALUE"""),0)</f>
        <v>0</v>
      </c>
      <c r="J11" s="23">
        <f ca="1">IFERROR(__xludf.DUMMYFUNCTION("""COMPUTED_VALUE"""),0)</f>
        <v>0</v>
      </c>
      <c r="K11" s="23">
        <f ca="1">IFERROR(__xludf.DUMMYFUNCTION("""COMPUTED_VALUE"""),0)</f>
        <v>0</v>
      </c>
      <c r="L11" s="23">
        <f ca="1">IFERROR(__xludf.DUMMYFUNCTION("""COMPUTED_VALUE"""),0)</f>
        <v>0</v>
      </c>
      <c r="M11" s="23">
        <f ca="1">IFERROR(__xludf.DUMMYFUNCTION("""COMPUTED_VALUE"""),0)</f>
        <v>0</v>
      </c>
      <c r="N11" s="23">
        <f ca="1">IFERROR(__xludf.DUMMYFUNCTION("""COMPUTED_VALUE"""),0)</f>
        <v>0</v>
      </c>
      <c r="O11" s="23">
        <f ca="1">IFERROR(__xludf.DUMMYFUNCTION("""COMPUTED_VALUE"""),0)</f>
        <v>0</v>
      </c>
      <c r="P11" s="23">
        <f ca="1">IFERROR(__xludf.DUMMYFUNCTION("""COMPUTED_VALUE"""),0)</f>
        <v>0</v>
      </c>
      <c r="Q11" s="23">
        <f ca="1">IFERROR(__xludf.DUMMYFUNCTION("""COMPUTED_VALUE"""),0)</f>
        <v>0</v>
      </c>
      <c r="R11" s="23">
        <f ca="1">IFERROR(__xludf.DUMMYFUNCTION("""COMPUTED_VALUE"""),0)</f>
        <v>0</v>
      </c>
      <c r="S11" s="23">
        <f ca="1">IFERROR(__xludf.DUMMYFUNCTION("""COMPUTED_VALUE"""),0)</f>
        <v>0</v>
      </c>
    </row>
    <row r="12" spans="1:19">
      <c r="A12" s="23" t="str">
        <f ca="1">IFERROR(__xludf.DUMMYFUNCTION("""COMPUTED_VALUE"""),"SANCIONES REALIZADAS A  NECESIDADES FISIOLÓGICAS")</f>
        <v>SANCIONES REALIZADAS A  NECESIDADES FISIOLÓGICAS</v>
      </c>
      <c r="B12" s="23">
        <f ca="1">IFERROR(__xludf.DUMMYFUNCTION("""COMPUTED_VALUE"""),1)</f>
        <v>1</v>
      </c>
      <c r="C12" s="23"/>
      <c r="D12" s="23" t="str">
        <f ca="1">IFERROR(__xludf.DUMMYFUNCTION("""COMPUTED_VALUE"""),"ASCENDENTE")</f>
        <v>ASCENDENTE</v>
      </c>
      <c r="E12" s="23" t="str">
        <f ca="1">IFERROR(__xludf.DUMMYFUNCTION("""COMPUTED_VALUE"""),"BITACORA OPERATIVA")</f>
        <v>BITACORA OPERATIVA</v>
      </c>
      <c r="F12" s="23">
        <f ca="1">IFERROR(__xludf.DUMMYFUNCTION("""COMPUTED_VALUE"""),0)</f>
        <v>0</v>
      </c>
      <c r="G12" s="23">
        <f ca="1">IFERROR(__xludf.DUMMYFUNCTION("""COMPUTED_VALUE"""),0)</f>
        <v>0</v>
      </c>
      <c r="H12" s="23">
        <f ca="1">IFERROR(__xludf.DUMMYFUNCTION("""COMPUTED_VALUE"""),0)</f>
        <v>0</v>
      </c>
      <c r="I12" s="23">
        <f ca="1">IFERROR(__xludf.DUMMYFUNCTION("""COMPUTED_VALUE"""),0)</f>
        <v>0</v>
      </c>
      <c r="J12" s="23">
        <f ca="1">IFERROR(__xludf.DUMMYFUNCTION("""COMPUTED_VALUE"""),0)</f>
        <v>0</v>
      </c>
      <c r="K12" s="23">
        <f ca="1">IFERROR(__xludf.DUMMYFUNCTION("""COMPUTED_VALUE"""),0)</f>
        <v>0</v>
      </c>
      <c r="L12" s="23">
        <f ca="1">IFERROR(__xludf.DUMMYFUNCTION("""COMPUTED_VALUE"""),0)</f>
        <v>0</v>
      </c>
      <c r="M12" s="23">
        <f ca="1">IFERROR(__xludf.DUMMYFUNCTION("""COMPUTED_VALUE"""),0)</f>
        <v>0</v>
      </c>
      <c r="N12" s="23">
        <f ca="1">IFERROR(__xludf.DUMMYFUNCTION("""COMPUTED_VALUE"""),0)</f>
        <v>0</v>
      </c>
      <c r="O12" s="23">
        <f ca="1">IFERROR(__xludf.DUMMYFUNCTION("""COMPUTED_VALUE"""),0)</f>
        <v>0</v>
      </c>
      <c r="P12" s="23">
        <f ca="1">IFERROR(__xludf.DUMMYFUNCTION("""COMPUTED_VALUE"""),0)</f>
        <v>0</v>
      </c>
      <c r="Q12" s="23">
        <f ca="1">IFERROR(__xludf.DUMMYFUNCTION("""COMPUTED_VALUE"""),0)</f>
        <v>0</v>
      </c>
      <c r="R12" s="23">
        <f ca="1">IFERROR(__xludf.DUMMYFUNCTION("""COMPUTED_VALUE"""),0)</f>
        <v>0</v>
      </c>
      <c r="S12" s="23">
        <f ca="1">IFERROR(__xludf.DUMMYFUNCTION("""COMPUTED_VALUE"""),0)</f>
        <v>0</v>
      </c>
    </row>
    <row r="13" spans="1:19">
      <c r="A13" s="23" t="str">
        <f ca="1">IFERROR(__xludf.DUMMYFUNCTION("""COMPUTED_VALUE"""),"SANCIONES RELACIONADAS A LA CONTAMINACIÓN AUDITIVA")</f>
        <v>SANCIONES RELACIONADAS A LA CONTAMINACIÓN AUDITIVA</v>
      </c>
      <c r="B13" s="23">
        <f ca="1">IFERROR(__xludf.DUMMYFUNCTION("""COMPUTED_VALUE"""),1)</f>
        <v>1</v>
      </c>
      <c r="C13" s="23"/>
      <c r="D13" s="23" t="str">
        <f ca="1">IFERROR(__xludf.DUMMYFUNCTION("""COMPUTED_VALUE"""),"ASCENDENTE")</f>
        <v>ASCENDENTE</v>
      </c>
      <c r="E13" s="23" t="str">
        <f ca="1">IFERROR(__xludf.DUMMYFUNCTION("""COMPUTED_VALUE"""),"BITACORA OPERATIVA")</f>
        <v>BITACORA OPERATIVA</v>
      </c>
      <c r="F13" s="23">
        <f ca="1">IFERROR(__xludf.DUMMYFUNCTION("""COMPUTED_VALUE"""),0)</f>
        <v>0</v>
      </c>
      <c r="G13" s="23">
        <f ca="1">IFERROR(__xludf.DUMMYFUNCTION("""COMPUTED_VALUE"""),0)</f>
        <v>0</v>
      </c>
      <c r="H13" s="23">
        <f ca="1">IFERROR(__xludf.DUMMYFUNCTION("""COMPUTED_VALUE"""),0)</f>
        <v>0</v>
      </c>
      <c r="I13" s="23">
        <f ca="1">IFERROR(__xludf.DUMMYFUNCTION("""COMPUTED_VALUE"""),0)</f>
        <v>0</v>
      </c>
      <c r="J13" s="23">
        <f ca="1">IFERROR(__xludf.DUMMYFUNCTION("""COMPUTED_VALUE"""),0)</f>
        <v>0</v>
      </c>
      <c r="K13" s="23">
        <f ca="1">IFERROR(__xludf.DUMMYFUNCTION("""COMPUTED_VALUE"""),0)</f>
        <v>0</v>
      </c>
      <c r="L13" s="23">
        <f ca="1">IFERROR(__xludf.DUMMYFUNCTION("""COMPUTED_VALUE"""),0)</f>
        <v>0</v>
      </c>
      <c r="M13" s="23">
        <f ca="1">IFERROR(__xludf.DUMMYFUNCTION("""COMPUTED_VALUE"""),0)</f>
        <v>0</v>
      </c>
      <c r="N13" s="23">
        <f ca="1">IFERROR(__xludf.DUMMYFUNCTION("""COMPUTED_VALUE"""),0)</f>
        <v>0</v>
      </c>
      <c r="O13" s="23">
        <f ca="1">IFERROR(__xludf.DUMMYFUNCTION("""COMPUTED_VALUE"""),0)</f>
        <v>0</v>
      </c>
      <c r="P13" s="23">
        <f ca="1">IFERROR(__xludf.DUMMYFUNCTION("""COMPUTED_VALUE"""),0)</f>
        <v>0</v>
      </c>
      <c r="Q13" s="23">
        <f ca="1">IFERROR(__xludf.DUMMYFUNCTION("""COMPUTED_VALUE"""),0)</f>
        <v>0</v>
      </c>
      <c r="R13" s="23">
        <f ca="1">IFERROR(__xludf.DUMMYFUNCTION("""COMPUTED_VALUE"""),0)</f>
        <v>0</v>
      </c>
      <c r="S13" s="23">
        <f ca="1">IFERROR(__xludf.DUMMYFUNCTION("""COMPUTED_VALUE"""),0)</f>
        <v>0</v>
      </c>
    </row>
    <row r="14" spans="1:19">
      <c r="A14" s="23" t="str">
        <f ca="1">IFERROR(__xludf.DUMMYFUNCTION("""COMPUTED_VALUE"""),"OTRAS INFRACCIONES RELACIONADAS AL DESORDEN EN LA CONVIVENCIA SOCIAL")</f>
        <v>OTRAS INFRACCIONES RELACIONADAS AL DESORDEN EN LA CONVIVENCIA SOCIAL</v>
      </c>
      <c r="B14" s="23">
        <f ca="1">IFERROR(__xludf.DUMMYFUNCTION("""COMPUTED_VALUE"""),1)</f>
        <v>1</v>
      </c>
      <c r="C14" s="23"/>
      <c r="D14" s="23" t="str">
        <f ca="1">IFERROR(__xludf.DUMMYFUNCTION("""COMPUTED_VALUE"""),"ASCENDENTE")</f>
        <v>ASCENDENTE</v>
      </c>
      <c r="E14" s="23" t="str">
        <f ca="1">IFERROR(__xludf.DUMMYFUNCTION("""COMPUTED_VALUE"""),"BITACORA OPERATIVA")</f>
        <v>BITACORA OPERATIVA</v>
      </c>
      <c r="F14" s="23">
        <f ca="1">IFERROR(__xludf.DUMMYFUNCTION("""COMPUTED_VALUE"""),0)</f>
        <v>0</v>
      </c>
      <c r="G14" s="23">
        <f ca="1">IFERROR(__xludf.DUMMYFUNCTION("""COMPUTED_VALUE"""),0)</f>
        <v>0</v>
      </c>
      <c r="H14" s="23">
        <f ca="1">IFERROR(__xludf.DUMMYFUNCTION("""COMPUTED_VALUE"""),0)</f>
        <v>0</v>
      </c>
      <c r="I14" s="23">
        <f ca="1">IFERROR(__xludf.DUMMYFUNCTION("""COMPUTED_VALUE"""),0)</f>
        <v>0</v>
      </c>
      <c r="J14" s="23">
        <f ca="1">IFERROR(__xludf.DUMMYFUNCTION("""COMPUTED_VALUE"""),0)</f>
        <v>0</v>
      </c>
      <c r="K14" s="23">
        <f ca="1">IFERROR(__xludf.DUMMYFUNCTION("""COMPUTED_VALUE"""),0)</f>
        <v>0</v>
      </c>
      <c r="L14" s="23">
        <f ca="1">IFERROR(__xludf.DUMMYFUNCTION("""COMPUTED_VALUE"""),0)</f>
        <v>0</v>
      </c>
      <c r="M14" s="23">
        <f ca="1">IFERROR(__xludf.DUMMYFUNCTION("""COMPUTED_VALUE"""),0)</f>
        <v>0</v>
      </c>
      <c r="N14" s="23">
        <f ca="1">IFERROR(__xludf.DUMMYFUNCTION("""COMPUTED_VALUE"""),0)</f>
        <v>0</v>
      </c>
      <c r="O14" s="23">
        <f ca="1">IFERROR(__xludf.DUMMYFUNCTION("""COMPUTED_VALUE"""),0)</f>
        <v>0</v>
      </c>
      <c r="P14" s="23">
        <f ca="1">IFERROR(__xludf.DUMMYFUNCTION("""COMPUTED_VALUE"""),0)</f>
        <v>0</v>
      </c>
      <c r="Q14" s="23">
        <f ca="1">IFERROR(__xludf.DUMMYFUNCTION("""COMPUTED_VALUE"""),0)</f>
        <v>0</v>
      </c>
      <c r="R14" s="23">
        <f ca="1">IFERROR(__xludf.DUMMYFUNCTION("""COMPUTED_VALUE"""),0)</f>
        <v>0</v>
      </c>
      <c r="S14" s="23">
        <f ca="1">IFERROR(__xludf.DUMMYFUNCTION("""COMPUTED_VALUE"""),0)</f>
        <v>0</v>
      </c>
    </row>
    <row r="15" spans="1:19">
      <c r="A15" s="23" t="str">
        <f ca="1">IFERROR(__xludf.DUMMYFUNCTION("""COMPUTED_VALUE"""),"SANCIONES POR ALTERAR EL ORDEN PUBLICO")</f>
        <v>SANCIONES POR ALTERAR EL ORDEN PUBLICO</v>
      </c>
      <c r="B15" s="23">
        <f ca="1">IFERROR(__xludf.DUMMYFUNCTION("""COMPUTED_VALUE"""),1)</f>
        <v>1</v>
      </c>
      <c r="C15" s="23"/>
      <c r="D15" s="23" t="str">
        <f ca="1">IFERROR(__xludf.DUMMYFUNCTION("""COMPUTED_VALUE"""),"ASCENDENTE")</f>
        <v>ASCENDENTE</v>
      </c>
      <c r="E15" s="23" t="str">
        <f ca="1">IFERROR(__xludf.DUMMYFUNCTION("""COMPUTED_VALUE"""),"BITACORA OPERATIVA")</f>
        <v>BITACORA OPERATIVA</v>
      </c>
      <c r="F15" s="23">
        <f ca="1">IFERROR(__xludf.DUMMYFUNCTION("""COMPUTED_VALUE"""),0)</f>
        <v>0</v>
      </c>
      <c r="G15" s="23">
        <f ca="1">IFERROR(__xludf.DUMMYFUNCTION("""COMPUTED_VALUE"""),0)</f>
        <v>0</v>
      </c>
      <c r="H15" s="23">
        <f ca="1">IFERROR(__xludf.DUMMYFUNCTION("""COMPUTED_VALUE"""),0)</f>
        <v>0</v>
      </c>
      <c r="I15" s="23">
        <f ca="1">IFERROR(__xludf.DUMMYFUNCTION("""COMPUTED_VALUE"""),0)</f>
        <v>0</v>
      </c>
      <c r="J15" s="23">
        <f ca="1">IFERROR(__xludf.DUMMYFUNCTION("""COMPUTED_VALUE"""),0)</f>
        <v>0</v>
      </c>
      <c r="K15" s="23">
        <f ca="1">IFERROR(__xludf.DUMMYFUNCTION("""COMPUTED_VALUE"""),0)</f>
        <v>0</v>
      </c>
      <c r="L15" s="23">
        <f ca="1">IFERROR(__xludf.DUMMYFUNCTION("""COMPUTED_VALUE"""),0)</f>
        <v>0</v>
      </c>
      <c r="M15" s="23">
        <f ca="1">IFERROR(__xludf.DUMMYFUNCTION("""COMPUTED_VALUE"""),0)</f>
        <v>0</v>
      </c>
      <c r="N15" s="23">
        <f ca="1">IFERROR(__xludf.DUMMYFUNCTION("""COMPUTED_VALUE"""),0)</f>
        <v>0</v>
      </c>
      <c r="O15" s="23">
        <f ca="1">IFERROR(__xludf.DUMMYFUNCTION("""COMPUTED_VALUE"""),0)</f>
        <v>0</v>
      </c>
      <c r="P15" s="23">
        <f ca="1">IFERROR(__xludf.DUMMYFUNCTION("""COMPUTED_VALUE"""),0)</f>
        <v>0</v>
      </c>
      <c r="Q15" s="23">
        <f ca="1">IFERROR(__xludf.DUMMYFUNCTION("""COMPUTED_VALUE"""),0)</f>
        <v>0</v>
      </c>
      <c r="R15" s="23">
        <f ca="1">IFERROR(__xludf.DUMMYFUNCTION("""COMPUTED_VALUE"""),0)</f>
        <v>0</v>
      </c>
      <c r="S15" s="23">
        <f ca="1">IFERROR(__xludf.DUMMYFUNCTION("""COMPUTED_VALUE"""),0)</f>
        <v>0</v>
      </c>
    </row>
    <row r="16" spans="1:19">
      <c r="A16" s="23" t="str">
        <f ca="1">IFERROR(__xludf.DUMMYFUNCTION("""COMPUTED_VALUE"""),"POSESIÓN SIMPLE")</f>
        <v>POSESIÓN SIMPLE</v>
      </c>
      <c r="B16" s="23">
        <f ca="1">IFERROR(__xludf.DUMMYFUNCTION("""COMPUTED_VALUE"""),1)</f>
        <v>1</v>
      </c>
      <c r="C16" s="23"/>
      <c r="D16" s="23" t="str">
        <f ca="1">IFERROR(__xludf.DUMMYFUNCTION("""COMPUTED_VALUE"""),"ASCENDENTE")</f>
        <v>ASCENDENTE</v>
      </c>
      <c r="E16" s="23" t="str">
        <f ca="1">IFERROR(__xludf.DUMMYFUNCTION("""COMPUTED_VALUE"""),"BITACORA OPERATIVA")</f>
        <v>BITACORA OPERATIVA</v>
      </c>
      <c r="F16" s="23">
        <f ca="1">IFERROR(__xludf.DUMMYFUNCTION("""COMPUTED_VALUE"""),0)</f>
        <v>0</v>
      </c>
      <c r="G16" s="23">
        <f ca="1">IFERROR(__xludf.DUMMYFUNCTION("""COMPUTED_VALUE"""),0)</f>
        <v>0</v>
      </c>
      <c r="H16" s="23">
        <f ca="1">IFERROR(__xludf.DUMMYFUNCTION("""COMPUTED_VALUE"""),0)</f>
        <v>0</v>
      </c>
      <c r="I16" s="23">
        <f ca="1">IFERROR(__xludf.DUMMYFUNCTION("""COMPUTED_VALUE"""),0)</f>
        <v>0</v>
      </c>
      <c r="J16" s="23">
        <f ca="1">IFERROR(__xludf.DUMMYFUNCTION("""COMPUTED_VALUE"""),0)</f>
        <v>0</v>
      </c>
      <c r="K16" s="23">
        <f ca="1">IFERROR(__xludf.DUMMYFUNCTION("""COMPUTED_VALUE"""),0)</f>
        <v>0</v>
      </c>
      <c r="L16" s="23">
        <f ca="1">IFERROR(__xludf.DUMMYFUNCTION("""COMPUTED_VALUE"""),0)</f>
        <v>0</v>
      </c>
      <c r="M16" s="23">
        <f ca="1">IFERROR(__xludf.DUMMYFUNCTION("""COMPUTED_VALUE"""),0)</f>
        <v>0</v>
      </c>
      <c r="N16" s="23">
        <f ca="1">IFERROR(__xludf.DUMMYFUNCTION("""COMPUTED_VALUE"""),0)</f>
        <v>0</v>
      </c>
      <c r="O16" s="23">
        <f ca="1">IFERROR(__xludf.DUMMYFUNCTION("""COMPUTED_VALUE"""),0)</f>
        <v>0</v>
      </c>
      <c r="P16" s="23">
        <f ca="1">IFERROR(__xludf.DUMMYFUNCTION("""COMPUTED_VALUE"""),0)</f>
        <v>0</v>
      </c>
      <c r="Q16" s="23">
        <f ca="1">IFERROR(__xludf.DUMMYFUNCTION("""COMPUTED_VALUE"""),0)</f>
        <v>0</v>
      </c>
      <c r="R16" s="23">
        <f ca="1">IFERROR(__xludf.DUMMYFUNCTION("""COMPUTED_VALUE"""),0)</f>
        <v>0</v>
      </c>
      <c r="S16" s="23">
        <f ca="1">IFERROR(__xludf.DUMMYFUNCTION("""COMPUTED_VALUE"""),0)</f>
        <v>0</v>
      </c>
    </row>
    <row r="17" spans="1:19">
      <c r="A17" s="23" t="str">
        <f ca="1">IFERROR(__xludf.DUMMYFUNCTION("""COMPUTED_VALUE"""),"POSESIÓN CON FINES DE COMERCIO O SUMINISTRO")</f>
        <v>POSESIÓN CON FINES DE COMERCIO O SUMINISTRO</v>
      </c>
      <c r="B17" s="23">
        <f ca="1">IFERROR(__xludf.DUMMYFUNCTION("""COMPUTED_VALUE"""),1)</f>
        <v>1</v>
      </c>
      <c r="C17" s="23"/>
      <c r="D17" s="23" t="str">
        <f ca="1">IFERROR(__xludf.DUMMYFUNCTION("""COMPUTED_VALUE"""),"ASCENDENTE")</f>
        <v>ASCENDENTE</v>
      </c>
      <c r="E17" s="23" t="str">
        <f ca="1">IFERROR(__xludf.DUMMYFUNCTION("""COMPUTED_VALUE"""),"BITACORA OPERATIVA")</f>
        <v>BITACORA OPERATIVA</v>
      </c>
      <c r="F17" s="23">
        <f ca="1">IFERROR(__xludf.DUMMYFUNCTION("""COMPUTED_VALUE"""),0)</f>
        <v>0</v>
      </c>
      <c r="G17" s="23">
        <f ca="1">IFERROR(__xludf.DUMMYFUNCTION("""COMPUTED_VALUE"""),0)</f>
        <v>0</v>
      </c>
      <c r="H17" s="23">
        <f ca="1">IFERROR(__xludf.DUMMYFUNCTION("""COMPUTED_VALUE"""),0)</f>
        <v>0</v>
      </c>
      <c r="I17" s="23">
        <f ca="1">IFERROR(__xludf.DUMMYFUNCTION("""COMPUTED_VALUE"""),0)</f>
        <v>0</v>
      </c>
      <c r="J17" s="23">
        <f ca="1">IFERROR(__xludf.DUMMYFUNCTION("""COMPUTED_VALUE"""),0)</f>
        <v>0</v>
      </c>
      <c r="K17" s="23">
        <f ca="1">IFERROR(__xludf.DUMMYFUNCTION("""COMPUTED_VALUE"""),0)</f>
        <v>0</v>
      </c>
      <c r="L17" s="23">
        <f ca="1">IFERROR(__xludf.DUMMYFUNCTION("""COMPUTED_VALUE"""),0)</f>
        <v>0</v>
      </c>
      <c r="M17" s="23">
        <f ca="1">IFERROR(__xludf.DUMMYFUNCTION("""COMPUTED_VALUE"""),0)</f>
        <v>0</v>
      </c>
      <c r="N17" s="23">
        <f ca="1">IFERROR(__xludf.DUMMYFUNCTION("""COMPUTED_VALUE"""),0)</f>
        <v>0</v>
      </c>
      <c r="O17" s="23">
        <f ca="1">IFERROR(__xludf.DUMMYFUNCTION("""COMPUTED_VALUE"""),0)</f>
        <v>0</v>
      </c>
      <c r="P17" s="23">
        <f ca="1">IFERROR(__xludf.DUMMYFUNCTION("""COMPUTED_VALUE"""),0)</f>
        <v>0</v>
      </c>
      <c r="Q17" s="23">
        <f ca="1">IFERROR(__xludf.DUMMYFUNCTION("""COMPUTED_VALUE"""),0)</f>
        <v>0</v>
      </c>
      <c r="R17" s="23">
        <f ca="1">IFERROR(__xludf.DUMMYFUNCTION("""COMPUTED_VALUE"""),0)</f>
        <v>0</v>
      </c>
      <c r="S17" s="23">
        <f ca="1">IFERROR(__xludf.DUMMYFUNCTION("""COMPUTED_VALUE"""),0)</f>
        <v>0</v>
      </c>
    </row>
    <row r="18" spans="1:19">
      <c r="A18" s="23" t="str">
        <f ca="1">IFERROR(__xludf.DUMMYFUNCTION("""COMPUTED_VALUE"""),"OTROS DELITOS CONTRA LA SALUD RELACIONADOS CON NARCOMENUDEO EN SU MODALIDAD DE NARCOMENUDEO")</f>
        <v>OTROS DELITOS CONTRA LA SALUD RELACIONADOS CON NARCOMENUDEO EN SU MODALIDAD DE NARCOMENUDEO</v>
      </c>
      <c r="B18" s="23">
        <f ca="1">IFERROR(__xludf.DUMMYFUNCTION("""COMPUTED_VALUE"""),1)</f>
        <v>1</v>
      </c>
      <c r="C18" s="23"/>
      <c r="D18" s="23" t="str">
        <f ca="1">IFERROR(__xludf.DUMMYFUNCTION("""COMPUTED_VALUE"""),"ASCENDENTE")</f>
        <v>ASCENDENTE</v>
      </c>
      <c r="E18" s="23" t="str">
        <f ca="1">IFERROR(__xludf.DUMMYFUNCTION("""COMPUTED_VALUE"""),"BITACORA OPERATIVA")</f>
        <v>BITACORA OPERATIVA</v>
      </c>
      <c r="F18" s="23">
        <f ca="1">IFERROR(__xludf.DUMMYFUNCTION("""COMPUTED_VALUE"""),0)</f>
        <v>0</v>
      </c>
      <c r="G18" s="23">
        <f ca="1">IFERROR(__xludf.DUMMYFUNCTION("""COMPUTED_VALUE"""),0)</f>
        <v>0</v>
      </c>
      <c r="H18" s="23">
        <f ca="1">IFERROR(__xludf.DUMMYFUNCTION("""COMPUTED_VALUE"""),0)</f>
        <v>0</v>
      </c>
      <c r="I18" s="23">
        <f ca="1">IFERROR(__xludf.DUMMYFUNCTION("""COMPUTED_VALUE"""),0)</f>
        <v>0</v>
      </c>
      <c r="J18" s="23">
        <f ca="1">IFERROR(__xludf.DUMMYFUNCTION("""COMPUTED_VALUE"""),0)</f>
        <v>0</v>
      </c>
      <c r="K18" s="23">
        <f ca="1">IFERROR(__xludf.DUMMYFUNCTION("""COMPUTED_VALUE"""),0)</f>
        <v>0</v>
      </c>
      <c r="L18" s="23">
        <f ca="1">IFERROR(__xludf.DUMMYFUNCTION("""COMPUTED_VALUE"""),0)</f>
        <v>0</v>
      </c>
      <c r="M18" s="23">
        <f ca="1">IFERROR(__xludf.DUMMYFUNCTION("""COMPUTED_VALUE"""),0)</f>
        <v>0</v>
      </c>
      <c r="N18" s="23">
        <f ca="1">IFERROR(__xludf.DUMMYFUNCTION("""COMPUTED_VALUE"""),0)</f>
        <v>0</v>
      </c>
      <c r="O18" s="23">
        <f ca="1">IFERROR(__xludf.DUMMYFUNCTION("""COMPUTED_VALUE"""),0)</f>
        <v>0</v>
      </c>
      <c r="P18" s="23">
        <f ca="1">IFERROR(__xludf.DUMMYFUNCTION("""COMPUTED_VALUE"""),0)</f>
        <v>0</v>
      </c>
      <c r="Q18" s="23">
        <f ca="1">IFERROR(__xludf.DUMMYFUNCTION("""COMPUTED_VALUE"""),0)</f>
        <v>0</v>
      </c>
      <c r="R18" s="23">
        <f ca="1">IFERROR(__xludf.DUMMYFUNCTION("""COMPUTED_VALUE"""),0)</f>
        <v>0</v>
      </c>
      <c r="S18" s="23">
        <f ca="1">IFERROR(__xludf.DUMMYFUNCTION("""COMPUTED_VALUE"""),0)</f>
        <v>0</v>
      </c>
    </row>
    <row r="19" spans="1:19">
      <c r="A19" s="23" t="str">
        <f ca="1">IFERROR(__xludf.DUMMYFUNCTION("""COMPUTED_VALUE"""),"DELITOS DEL FUERO COMÚN")</f>
        <v>DELITOS DEL FUERO COMÚN</v>
      </c>
      <c r="B19" s="23">
        <f ca="1">IFERROR(__xludf.DUMMYFUNCTION("""COMPUTED_VALUE"""),1)</f>
        <v>1</v>
      </c>
      <c r="C19" s="23"/>
      <c r="D19" s="23" t="str">
        <f ca="1">IFERROR(__xludf.DUMMYFUNCTION("""COMPUTED_VALUE"""),"ASCENDENTE")</f>
        <v>ASCENDENTE</v>
      </c>
      <c r="E19" s="23" t="str">
        <f ca="1">IFERROR(__xludf.DUMMYFUNCTION("""COMPUTED_VALUE"""),"BITACORA OPERATIVA")</f>
        <v>BITACORA OPERATIVA</v>
      </c>
      <c r="F19" s="23">
        <f ca="1">IFERROR(__xludf.DUMMYFUNCTION("""COMPUTED_VALUE"""),0)</f>
        <v>0</v>
      </c>
      <c r="G19" s="23">
        <f ca="1">IFERROR(__xludf.DUMMYFUNCTION("""COMPUTED_VALUE"""),0)</f>
        <v>0</v>
      </c>
      <c r="H19" s="23">
        <f ca="1">IFERROR(__xludf.DUMMYFUNCTION("""COMPUTED_VALUE"""),0)</f>
        <v>0</v>
      </c>
      <c r="I19" s="23">
        <f ca="1">IFERROR(__xludf.DUMMYFUNCTION("""COMPUTED_VALUE"""),0)</f>
        <v>0</v>
      </c>
      <c r="J19" s="23">
        <f ca="1">IFERROR(__xludf.DUMMYFUNCTION("""COMPUTED_VALUE"""),0)</f>
        <v>0</v>
      </c>
      <c r="K19" s="23">
        <f ca="1">IFERROR(__xludf.DUMMYFUNCTION("""COMPUTED_VALUE"""),0)</f>
        <v>0</v>
      </c>
      <c r="L19" s="23">
        <f ca="1">IFERROR(__xludf.DUMMYFUNCTION("""COMPUTED_VALUE"""),0)</f>
        <v>0</v>
      </c>
      <c r="M19" s="23">
        <f ca="1">IFERROR(__xludf.DUMMYFUNCTION("""COMPUTED_VALUE"""),0)</f>
        <v>0</v>
      </c>
      <c r="N19" s="23">
        <f ca="1">IFERROR(__xludf.DUMMYFUNCTION("""COMPUTED_VALUE"""),0)</f>
        <v>0</v>
      </c>
      <c r="O19" s="23">
        <f ca="1">IFERROR(__xludf.DUMMYFUNCTION("""COMPUTED_VALUE"""),0)</f>
        <v>0</v>
      </c>
      <c r="P19" s="23">
        <f ca="1">IFERROR(__xludf.DUMMYFUNCTION("""COMPUTED_VALUE"""),0)</f>
        <v>0</v>
      </c>
      <c r="Q19" s="23">
        <f ca="1">IFERROR(__xludf.DUMMYFUNCTION("""COMPUTED_VALUE"""),0)</f>
        <v>0</v>
      </c>
      <c r="R19" s="23">
        <f ca="1">IFERROR(__xludf.DUMMYFUNCTION("""COMPUTED_VALUE"""),0)</f>
        <v>0</v>
      </c>
      <c r="S19" s="23">
        <f ca="1">IFERROR(__xludf.DUMMYFUNCTION("""COMPUTED_VALUE"""),0)</f>
        <v>0</v>
      </c>
    </row>
    <row r="20" spans="1:19">
      <c r="A20" s="23" t="str">
        <f ca="1">IFERROR(__xludf.DUMMYFUNCTION("""COMPUTED_VALUE"""),"HOMICIDIO")</f>
        <v>HOMICIDIO</v>
      </c>
      <c r="B20" s="23">
        <f ca="1">IFERROR(__xludf.DUMMYFUNCTION("""COMPUTED_VALUE"""),1)</f>
        <v>1</v>
      </c>
      <c r="C20" s="23"/>
      <c r="D20" s="23" t="str">
        <f ca="1">IFERROR(__xludf.DUMMYFUNCTION("""COMPUTED_VALUE"""),"ASCENDENTE")</f>
        <v>ASCENDENTE</v>
      </c>
      <c r="E20" s="23" t="str">
        <f ca="1">IFERROR(__xludf.DUMMYFUNCTION("""COMPUTED_VALUE"""),"BITACORA OPERATIVA")</f>
        <v>BITACORA OPERATIVA</v>
      </c>
      <c r="F20" s="23">
        <f ca="1">IFERROR(__xludf.DUMMYFUNCTION("""COMPUTED_VALUE"""),0)</f>
        <v>0</v>
      </c>
      <c r="G20" s="23">
        <f ca="1">IFERROR(__xludf.DUMMYFUNCTION("""COMPUTED_VALUE"""),0)</f>
        <v>0</v>
      </c>
      <c r="H20" s="23">
        <f ca="1">IFERROR(__xludf.DUMMYFUNCTION("""COMPUTED_VALUE"""),0)</f>
        <v>0</v>
      </c>
      <c r="I20" s="23">
        <f ca="1">IFERROR(__xludf.DUMMYFUNCTION("""COMPUTED_VALUE"""),0)</f>
        <v>0</v>
      </c>
      <c r="J20" s="23">
        <f ca="1">IFERROR(__xludf.DUMMYFUNCTION("""COMPUTED_VALUE"""),0)</f>
        <v>0</v>
      </c>
      <c r="K20" s="23">
        <f ca="1">IFERROR(__xludf.DUMMYFUNCTION("""COMPUTED_VALUE"""),0)</f>
        <v>0</v>
      </c>
      <c r="L20" s="23">
        <f ca="1">IFERROR(__xludf.DUMMYFUNCTION("""COMPUTED_VALUE"""),0)</f>
        <v>0</v>
      </c>
      <c r="M20" s="23">
        <f ca="1">IFERROR(__xludf.DUMMYFUNCTION("""COMPUTED_VALUE"""),0)</f>
        <v>0</v>
      </c>
      <c r="N20" s="23">
        <f ca="1">IFERROR(__xludf.DUMMYFUNCTION("""COMPUTED_VALUE"""),0)</f>
        <v>0</v>
      </c>
      <c r="O20" s="23">
        <f ca="1">IFERROR(__xludf.DUMMYFUNCTION("""COMPUTED_VALUE"""),0)</f>
        <v>0</v>
      </c>
      <c r="P20" s="23">
        <f ca="1">IFERROR(__xludf.DUMMYFUNCTION("""COMPUTED_VALUE"""),0)</f>
        <v>0</v>
      </c>
      <c r="Q20" s="23">
        <f ca="1">IFERROR(__xludf.DUMMYFUNCTION("""COMPUTED_VALUE"""),0)</f>
        <v>0</v>
      </c>
      <c r="R20" s="23">
        <f ca="1">IFERROR(__xludf.DUMMYFUNCTION("""COMPUTED_VALUE"""),0)</f>
        <v>0</v>
      </c>
      <c r="S20" s="23">
        <f ca="1">IFERROR(__xludf.DUMMYFUNCTION("""COMPUTED_VALUE"""),0)</f>
        <v>0</v>
      </c>
    </row>
    <row r="21" spans="1:19">
      <c r="A21" s="23" t="str">
        <f ca="1">IFERROR(__xludf.DUMMYFUNCTION("""COMPUTED_VALUE"""),"SUICIDIO")</f>
        <v>SUICIDIO</v>
      </c>
      <c r="B21" s="23">
        <f ca="1">IFERROR(__xludf.DUMMYFUNCTION("""COMPUTED_VALUE"""),1)</f>
        <v>1</v>
      </c>
      <c r="C21" s="23"/>
      <c r="D21" s="23" t="str">
        <f ca="1">IFERROR(__xludf.DUMMYFUNCTION("""COMPUTED_VALUE"""),"ASCENDENTE")</f>
        <v>ASCENDENTE</v>
      </c>
      <c r="E21" s="23" t="str">
        <f ca="1">IFERROR(__xludf.DUMMYFUNCTION("""COMPUTED_VALUE"""),"BITACORA OPERATIVA")</f>
        <v>BITACORA OPERATIVA</v>
      </c>
      <c r="F21" s="23">
        <f ca="1">IFERROR(__xludf.DUMMYFUNCTION("""COMPUTED_VALUE"""),0)</f>
        <v>0</v>
      </c>
      <c r="G21" s="23">
        <f ca="1">IFERROR(__xludf.DUMMYFUNCTION("""COMPUTED_VALUE"""),0)</f>
        <v>0</v>
      </c>
      <c r="H21" s="23">
        <f ca="1">IFERROR(__xludf.DUMMYFUNCTION("""COMPUTED_VALUE"""),0)</f>
        <v>0</v>
      </c>
      <c r="I21" s="23">
        <f ca="1">IFERROR(__xludf.DUMMYFUNCTION("""COMPUTED_VALUE"""),0)</f>
        <v>0</v>
      </c>
      <c r="J21" s="23">
        <f ca="1">IFERROR(__xludf.DUMMYFUNCTION("""COMPUTED_VALUE"""),0)</f>
        <v>0</v>
      </c>
      <c r="K21" s="23">
        <f ca="1">IFERROR(__xludf.DUMMYFUNCTION("""COMPUTED_VALUE"""),0)</f>
        <v>0</v>
      </c>
      <c r="L21" s="23">
        <f ca="1">IFERROR(__xludf.DUMMYFUNCTION("""COMPUTED_VALUE"""),0)</f>
        <v>0</v>
      </c>
      <c r="M21" s="23">
        <f ca="1">IFERROR(__xludf.DUMMYFUNCTION("""COMPUTED_VALUE"""),0)</f>
        <v>0</v>
      </c>
      <c r="N21" s="23">
        <f ca="1">IFERROR(__xludf.DUMMYFUNCTION("""COMPUTED_VALUE"""),0)</f>
        <v>0</v>
      </c>
      <c r="O21" s="23">
        <f ca="1">IFERROR(__xludf.DUMMYFUNCTION("""COMPUTED_VALUE"""),0)</f>
        <v>0</v>
      </c>
      <c r="P21" s="23">
        <f ca="1">IFERROR(__xludf.DUMMYFUNCTION("""COMPUTED_VALUE"""),0)</f>
        <v>0</v>
      </c>
      <c r="Q21" s="23">
        <f ca="1">IFERROR(__xludf.DUMMYFUNCTION("""COMPUTED_VALUE"""),0)</f>
        <v>0</v>
      </c>
      <c r="R21" s="23">
        <f ca="1">IFERROR(__xludf.DUMMYFUNCTION("""COMPUTED_VALUE"""),0)</f>
        <v>0</v>
      </c>
      <c r="S21" s="23">
        <f ca="1">IFERROR(__xludf.DUMMYFUNCTION("""COMPUTED_VALUE"""),0)</f>
        <v>0</v>
      </c>
    </row>
    <row r="22" spans="1:19">
      <c r="A22" s="23" t="str">
        <f ca="1">IFERROR(__xludf.DUMMYFUNCTION("""COMPUTED_VALUE"""),"OTROS DELITOS RELACIONADOS CON LA VIDA Y LA INTEGRIDAD FISICA CORPORAL")</f>
        <v>OTROS DELITOS RELACIONADOS CON LA VIDA Y LA INTEGRIDAD FISICA CORPORAL</v>
      </c>
      <c r="B22" s="23">
        <f ca="1">IFERROR(__xludf.DUMMYFUNCTION("""COMPUTED_VALUE"""),1)</f>
        <v>1</v>
      </c>
      <c r="C22" s="23"/>
      <c r="D22" s="23" t="str">
        <f ca="1">IFERROR(__xludf.DUMMYFUNCTION("""COMPUTED_VALUE"""),"ASCENDENTE")</f>
        <v>ASCENDENTE</v>
      </c>
      <c r="E22" s="23" t="str">
        <f ca="1">IFERROR(__xludf.DUMMYFUNCTION("""COMPUTED_VALUE"""),"BITACORA OPERATIVA")</f>
        <v>BITACORA OPERATIVA</v>
      </c>
      <c r="F22" s="23">
        <f ca="1">IFERROR(__xludf.DUMMYFUNCTION("""COMPUTED_VALUE"""),0)</f>
        <v>0</v>
      </c>
      <c r="G22" s="23">
        <f ca="1">IFERROR(__xludf.DUMMYFUNCTION("""COMPUTED_VALUE"""),0)</f>
        <v>0</v>
      </c>
      <c r="H22" s="23">
        <f ca="1">IFERROR(__xludf.DUMMYFUNCTION("""COMPUTED_VALUE"""),0)</f>
        <v>0</v>
      </c>
      <c r="I22" s="23">
        <f ca="1">IFERROR(__xludf.DUMMYFUNCTION("""COMPUTED_VALUE"""),0)</f>
        <v>0</v>
      </c>
      <c r="J22" s="23">
        <f ca="1">IFERROR(__xludf.DUMMYFUNCTION("""COMPUTED_VALUE"""),0)</f>
        <v>0</v>
      </c>
      <c r="K22" s="23">
        <f ca="1">IFERROR(__xludf.DUMMYFUNCTION("""COMPUTED_VALUE"""),0)</f>
        <v>0</v>
      </c>
      <c r="L22" s="23">
        <f ca="1">IFERROR(__xludf.DUMMYFUNCTION("""COMPUTED_VALUE"""),0)</f>
        <v>0</v>
      </c>
      <c r="M22" s="23">
        <f ca="1">IFERROR(__xludf.DUMMYFUNCTION("""COMPUTED_VALUE"""),0)</f>
        <v>0</v>
      </c>
      <c r="N22" s="23">
        <f ca="1">IFERROR(__xludf.DUMMYFUNCTION("""COMPUTED_VALUE"""),0)</f>
        <v>0</v>
      </c>
      <c r="O22" s="23">
        <f ca="1">IFERROR(__xludf.DUMMYFUNCTION("""COMPUTED_VALUE"""),0)</f>
        <v>0</v>
      </c>
      <c r="P22" s="23">
        <f ca="1">IFERROR(__xludf.DUMMYFUNCTION("""COMPUTED_VALUE"""),0)</f>
        <v>0</v>
      </c>
      <c r="Q22" s="23">
        <f ca="1">IFERROR(__xludf.DUMMYFUNCTION("""COMPUTED_VALUE"""),0)</f>
        <v>0</v>
      </c>
      <c r="R22" s="23">
        <f ca="1">IFERROR(__xludf.DUMMYFUNCTION("""COMPUTED_VALUE"""),0)</f>
        <v>0</v>
      </c>
      <c r="S22" s="23">
        <f ca="1">IFERROR(__xludf.DUMMYFUNCTION("""COMPUTED_VALUE"""),0)</f>
        <v>0</v>
      </c>
    </row>
    <row r="23" spans="1:19">
      <c r="A23" s="23" t="str">
        <f ca="1">IFERROR(__xludf.DUMMYFUNCTION("""COMPUTED_VALUE"""),"DESAPARICIÓN FORZADA")</f>
        <v>DESAPARICIÓN FORZADA</v>
      </c>
      <c r="B23" s="23">
        <f ca="1">IFERROR(__xludf.DUMMYFUNCTION("""COMPUTED_VALUE"""),1)</f>
        <v>1</v>
      </c>
      <c r="C23" s="23"/>
      <c r="D23" s="23" t="str">
        <f ca="1">IFERROR(__xludf.DUMMYFUNCTION("""COMPUTED_VALUE"""),"ASCENDENTE")</f>
        <v>ASCENDENTE</v>
      </c>
      <c r="E23" s="23" t="str">
        <f ca="1">IFERROR(__xludf.DUMMYFUNCTION("""COMPUTED_VALUE"""),"BITACORA OPERATIVA")</f>
        <v>BITACORA OPERATIVA</v>
      </c>
      <c r="F23" s="23">
        <f ca="1">IFERROR(__xludf.DUMMYFUNCTION("""COMPUTED_VALUE"""),0)</f>
        <v>0</v>
      </c>
      <c r="G23" s="23">
        <f ca="1">IFERROR(__xludf.DUMMYFUNCTION("""COMPUTED_VALUE"""),0)</f>
        <v>0</v>
      </c>
      <c r="H23" s="23">
        <f ca="1">IFERROR(__xludf.DUMMYFUNCTION("""COMPUTED_VALUE"""),0)</f>
        <v>0</v>
      </c>
      <c r="I23" s="23">
        <f ca="1">IFERROR(__xludf.DUMMYFUNCTION("""COMPUTED_VALUE"""),0)</f>
        <v>0</v>
      </c>
      <c r="J23" s="23">
        <f ca="1">IFERROR(__xludf.DUMMYFUNCTION("""COMPUTED_VALUE"""),0)</f>
        <v>0</v>
      </c>
      <c r="K23" s="23">
        <f ca="1">IFERROR(__xludf.DUMMYFUNCTION("""COMPUTED_VALUE"""),0)</f>
        <v>0</v>
      </c>
      <c r="L23" s="23">
        <f ca="1">IFERROR(__xludf.DUMMYFUNCTION("""COMPUTED_VALUE"""),0)</f>
        <v>0</v>
      </c>
      <c r="M23" s="23">
        <f ca="1">IFERROR(__xludf.DUMMYFUNCTION("""COMPUTED_VALUE"""),0)</f>
        <v>0</v>
      </c>
      <c r="N23" s="23">
        <f ca="1">IFERROR(__xludf.DUMMYFUNCTION("""COMPUTED_VALUE"""),0)</f>
        <v>0</v>
      </c>
      <c r="O23" s="23">
        <f ca="1">IFERROR(__xludf.DUMMYFUNCTION("""COMPUTED_VALUE"""),0)</f>
        <v>0</v>
      </c>
      <c r="P23" s="23">
        <f ca="1">IFERROR(__xludf.DUMMYFUNCTION("""COMPUTED_VALUE"""),0)</f>
        <v>0</v>
      </c>
      <c r="Q23" s="23">
        <f ca="1">IFERROR(__xludf.DUMMYFUNCTION("""COMPUTED_VALUE"""),0)</f>
        <v>0</v>
      </c>
      <c r="R23" s="23">
        <f ca="1">IFERROR(__xludf.DUMMYFUNCTION("""COMPUTED_VALUE"""),0)</f>
        <v>0</v>
      </c>
      <c r="S23" s="23">
        <f ca="1">IFERROR(__xludf.DUMMYFUNCTION("""COMPUTED_VALUE"""),0)</f>
        <v>0</v>
      </c>
    </row>
    <row r="24" spans="1:19">
      <c r="A24" s="23" t="str">
        <f ca="1">IFERROR(__xludf.DUMMYFUNCTION("""COMPUTED_VALUE"""),"PRIVACIÓN DE LA LIBERTAD")</f>
        <v>PRIVACIÓN DE LA LIBERTAD</v>
      </c>
      <c r="B24" s="23">
        <f ca="1">IFERROR(__xludf.DUMMYFUNCTION("""COMPUTED_VALUE"""),1)</f>
        <v>1</v>
      </c>
      <c r="C24" s="23"/>
      <c r="D24" s="23" t="str">
        <f ca="1">IFERROR(__xludf.DUMMYFUNCTION("""COMPUTED_VALUE"""),"ASCENDENTE")</f>
        <v>ASCENDENTE</v>
      </c>
      <c r="E24" s="23" t="str">
        <f ca="1">IFERROR(__xludf.DUMMYFUNCTION("""COMPUTED_VALUE"""),"BITACORA OPERATIVA")</f>
        <v>BITACORA OPERATIVA</v>
      </c>
      <c r="F24" s="23">
        <f ca="1">IFERROR(__xludf.DUMMYFUNCTION("""COMPUTED_VALUE"""),0)</f>
        <v>0</v>
      </c>
      <c r="G24" s="23">
        <f ca="1">IFERROR(__xludf.DUMMYFUNCTION("""COMPUTED_VALUE"""),0)</f>
        <v>0</v>
      </c>
      <c r="H24" s="23">
        <f ca="1">IFERROR(__xludf.DUMMYFUNCTION("""COMPUTED_VALUE"""),0)</f>
        <v>0</v>
      </c>
      <c r="I24" s="23">
        <f ca="1">IFERROR(__xludf.DUMMYFUNCTION("""COMPUTED_VALUE"""),0)</f>
        <v>0</v>
      </c>
      <c r="J24" s="23">
        <f ca="1">IFERROR(__xludf.DUMMYFUNCTION("""COMPUTED_VALUE"""),0)</f>
        <v>0</v>
      </c>
      <c r="K24" s="23">
        <f ca="1">IFERROR(__xludf.DUMMYFUNCTION("""COMPUTED_VALUE"""),0)</f>
        <v>0</v>
      </c>
      <c r="L24" s="23">
        <f ca="1">IFERROR(__xludf.DUMMYFUNCTION("""COMPUTED_VALUE"""),0)</f>
        <v>0</v>
      </c>
      <c r="M24" s="23">
        <f ca="1">IFERROR(__xludf.DUMMYFUNCTION("""COMPUTED_VALUE"""),0)</f>
        <v>0</v>
      </c>
      <c r="N24" s="23">
        <f ca="1">IFERROR(__xludf.DUMMYFUNCTION("""COMPUTED_VALUE"""),0)</f>
        <v>0</v>
      </c>
      <c r="O24" s="23">
        <f ca="1">IFERROR(__xludf.DUMMYFUNCTION("""COMPUTED_VALUE"""),0)</f>
        <v>0</v>
      </c>
      <c r="P24" s="23">
        <f ca="1">IFERROR(__xludf.DUMMYFUNCTION("""COMPUTED_VALUE"""),0)</f>
        <v>0</v>
      </c>
      <c r="Q24" s="23">
        <f ca="1">IFERROR(__xludf.DUMMYFUNCTION("""COMPUTED_VALUE"""),0)</f>
        <v>0</v>
      </c>
      <c r="R24" s="23">
        <f ca="1">IFERROR(__xludf.DUMMYFUNCTION("""COMPUTED_VALUE"""),0)</f>
        <v>0</v>
      </c>
      <c r="S24" s="23">
        <f ca="1">IFERROR(__xludf.DUMMYFUNCTION("""COMPUTED_VALUE"""),0)</f>
        <v>0</v>
      </c>
    </row>
    <row r="25" spans="1:19">
      <c r="A25" s="23" t="str">
        <f ca="1">IFERROR(__xludf.DUMMYFUNCTION("""COMPUTED_VALUE"""),"OTROS DELITOS RELACIONADOS CON LA LIBERTAD PERSONAL")</f>
        <v>OTROS DELITOS RELACIONADOS CON LA LIBERTAD PERSONAL</v>
      </c>
      <c r="B25" s="23">
        <f ca="1">IFERROR(__xludf.DUMMYFUNCTION("""COMPUTED_VALUE"""),1)</f>
        <v>1</v>
      </c>
      <c r="C25" s="23"/>
      <c r="D25" s="23" t="str">
        <f ca="1">IFERROR(__xludf.DUMMYFUNCTION("""COMPUTED_VALUE"""),"ASCENDENTE")</f>
        <v>ASCENDENTE</v>
      </c>
      <c r="E25" s="23" t="str">
        <f ca="1">IFERROR(__xludf.DUMMYFUNCTION("""COMPUTED_VALUE"""),"BITACORA OPERATIVA")</f>
        <v>BITACORA OPERATIVA</v>
      </c>
      <c r="F25" s="23">
        <f ca="1">IFERROR(__xludf.DUMMYFUNCTION("""COMPUTED_VALUE"""),0)</f>
        <v>0</v>
      </c>
      <c r="G25" s="23">
        <f ca="1">IFERROR(__xludf.DUMMYFUNCTION("""COMPUTED_VALUE"""),0)</f>
        <v>0</v>
      </c>
      <c r="H25" s="23">
        <f ca="1">IFERROR(__xludf.DUMMYFUNCTION("""COMPUTED_VALUE"""),0)</f>
        <v>0</v>
      </c>
      <c r="I25" s="23">
        <f ca="1">IFERROR(__xludf.DUMMYFUNCTION("""COMPUTED_VALUE"""),0)</f>
        <v>0</v>
      </c>
      <c r="J25" s="23">
        <f ca="1">IFERROR(__xludf.DUMMYFUNCTION("""COMPUTED_VALUE"""),0)</f>
        <v>0</v>
      </c>
      <c r="K25" s="23">
        <f ca="1">IFERROR(__xludf.DUMMYFUNCTION("""COMPUTED_VALUE"""),0)</f>
        <v>0</v>
      </c>
      <c r="L25" s="23">
        <f ca="1">IFERROR(__xludf.DUMMYFUNCTION("""COMPUTED_VALUE"""),0)</f>
        <v>0</v>
      </c>
      <c r="M25" s="23">
        <f ca="1">IFERROR(__xludf.DUMMYFUNCTION("""COMPUTED_VALUE"""),0)</f>
        <v>0</v>
      </c>
      <c r="N25" s="23">
        <f ca="1">IFERROR(__xludf.DUMMYFUNCTION("""COMPUTED_VALUE"""),0)</f>
        <v>0</v>
      </c>
      <c r="O25" s="23">
        <f ca="1">IFERROR(__xludf.DUMMYFUNCTION("""COMPUTED_VALUE"""),0)</f>
        <v>0</v>
      </c>
      <c r="P25" s="23">
        <f ca="1">IFERROR(__xludf.DUMMYFUNCTION("""COMPUTED_VALUE"""),0)</f>
        <v>0</v>
      </c>
      <c r="Q25" s="23">
        <f ca="1">IFERROR(__xludf.DUMMYFUNCTION("""COMPUTED_VALUE"""),0)</f>
        <v>0</v>
      </c>
      <c r="R25" s="23">
        <f ca="1">IFERROR(__xludf.DUMMYFUNCTION("""COMPUTED_VALUE"""),0)</f>
        <v>0</v>
      </c>
      <c r="S25" s="23">
        <f ca="1">IFERROR(__xludf.DUMMYFUNCTION("""COMPUTED_VALUE"""),0)</f>
        <v>0</v>
      </c>
    </row>
    <row r="26" spans="1:19">
      <c r="A26" s="23" t="str">
        <f ca="1">IFERROR(__xludf.DUMMYFUNCTION("""COMPUTED_VALUE"""),"ABUSO SEXUAL")</f>
        <v>ABUSO SEXUAL</v>
      </c>
      <c r="B26" s="23">
        <f ca="1">IFERROR(__xludf.DUMMYFUNCTION("""COMPUTED_VALUE"""),1)</f>
        <v>1</v>
      </c>
      <c r="C26" s="23"/>
      <c r="D26" s="23" t="str">
        <f ca="1">IFERROR(__xludf.DUMMYFUNCTION("""COMPUTED_VALUE"""),"ASCENDENTE")</f>
        <v>ASCENDENTE</v>
      </c>
      <c r="E26" s="23" t="str">
        <f ca="1">IFERROR(__xludf.DUMMYFUNCTION("""COMPUTED_VALUE"""),"BITACORA OPERATIVA")</f>
        <v>BITACORA OPERATIVA</v>
      </c>
      <c r="F26" s="23">
        <f ca="1">IFERROR(__xludf.DUMMYFUNCTION("""COMPUTED_VALUE"""),0)</f>
        <v>0</v>
      </c>
      <c r="G26" s="23">
        <f ca="1">IFERROR(__xludf.DUMMYFUNCTION("""COMPUTED_VALUE"""),0)</f>
        <v>0</v>
      </c>
      <c r="H26" s="23">
        <f ca="1">IFERROR(__xludf.DUMMYFUNCTION("""COMPUTED_VALUE"""),0)</f>
        <v>0</v>
      </c>
      <c r="I26" s="23">
        <f ca="1">IFERROR(__xludf.DUMMYFUNCTION("""COMPUTED_VALUE"""),0)</f>
        <v>0</v>
      </c>
      <c r="J26" s="23">
        <f ca="1">IFERROR(__xludf.DUMMYFUNCTION("""COMPUTED_VALUE"""),0)</f>
        <v>0</v>
      </c>
      <c r="K26" s="23">
        <f ca="1">IFERROR(__xludf.DUMMYFUNCTION("""COMPUTED_VALUE"""),1)</f>
        <v>1</v>
      </c>
      <c r="L26" s="23">
        <f ca="1">IFERROR(__xludf.DUMMYFUNCTION("""COMPUTED_VALUE"""),0)</f>
        <v>0</v>
      </c>
      <c r="M26" s="23">
        <f ca="1">IFERROR(__xludf.DUMMYFUNCTION("""COMPUTED_VALUE"""),0)</f>
        <v>0</v>
      </c>
      <c r="N26" s="23">
        <f ca="1">IFERROR(__xludf.DUMMYFUNCTION("""COMPUTED_VALUE"""),0)</f>
        <v>0</v>
      </c>
      <c r="O26" s="23">
        <f ca="1">IFERROR(__xludf.DUMMYFUNCTION("""COMPUTED_VALUE"""),0)</f>
        <v>0</v>
      </c>
      <c r="P26" s="23">
        <f ca="1">IFERROR(__xludf.DUMMYFUNCTION("""COMPUTED_VALUE"""),0)</f>
        <v>0</v>
      </c>
      <c r="Q26" s="23">
        <f ca="1">IFERROR(__xludf.DUMMYFUNCTION("""COMPUTED_VALUE"""),0)</f>
        <v>0</v>
      </c>
      <c r="R26" s="23">
        <f ca="1">IFERROR(__xludf.DUMMYFUNCTION("""COMPUTED_VALUE"""),0)</f>
        <v>0</v>
      </c>
      <c r="S26" s="23">
        <f ca="1">IFERROR(__xludf.DUMMYFUNCTION("""COMPUTED_VALUE"""),1)</f>
        <v>1</v>
      </c>
    </row>
    <row r="27" spans="1:19">
      <c r="A27" s="23" t="str">
        <f ca="1">IFERROR(__xludf.DUMMYFUNCTION("""COMPUTED_VALUE"""),"VIOLACIÓN")</f>
        <v>VIOLACIÓN</v>
      </c>
      <c r="B27" s="23">
        <f ca="1">IFERROR(__xludf.DUMMYFUNCTION("""COMPUTED_VALUE"""),1)</f>
        <v>1</v>
      </c>
      <c r="C27" s="23"/>
      <c r="D27" s="23" t="str">
        <f ca="1">IFERROR(__xludf.DUMMYFUNCTION("""COMPUTED_VALUE"""),"ASCENDENTE")</f>
        <v>ASCENDENTE</v>
      </c>
      <c r="E27" s="23" t="str">
        <f ca="1">IFERROR(__xludf.DUMMYFUNCTION("""COMPUTED_VALUE"""),"BITACORA OPERATIVA")</f>
        <v>BITACORA OPERATIVA</v>
      </c>
      <c r="F27" s="23">
        <f ca="1">IFERROR(__xludf.DUMMYFUNCTION("""COMPUTED_VALUE"""),0)</f>
        <v>0</v>
      </c>
      <c r="G27" s="23">
        <f ca="1">IFERROR(__xludf.DUMMYFUNCTION("""COMPUTED_VALUE"""),0)</f>
        <v>0</v>
      </c>
      <c r="H27" s="23">
        <f ca="1">IFERROR(__xludf.DUMMYFUNCTION("""COMPUTED_VALUE"""),0)</f>
        <v>0</v>
      </c>
      <c r="I27" s="23">
        <f ca="1">IFERROR(__xludf.DUMMYFUNCTION("""COMPUTED_VALUE"""),0)</f>
        <v>0</v>
      </c>
      <c r="J27" s="23">
        <f ca="1">IFERROR(__xludf.DUMMYFUNCTION("""COMPUTED_VALUE"""),1)</f>
        <v>1</v>
      </c>
      <c r="K27" s="23">
        <f ca="1">IFERROR(__xludf.DUMMYFUNCTION("""COMPUTED_VALUE"""),0)</f>
        <v>0</v>
      </c>
      <c r="L27" s="23">
        <f ca="1">IFERROR(__xludf.DUMMYFUNCTION("""COMPUTED_VALUE"""),0)</f>
        <v>0</v>
      </c>
      <c r="M27" s="23">
        <f ca="1">IFERROR(__xludf.DUMMYFUNCTION("""COMPUTED_VALUE"""),0)</f>
        <v>0</v>
      </c>
      <c r="N27" s="23">
        <f ca="1">IFERROR(__xludf.DUMMYFUNCTION("""COMPUTED_VALUE"""),0)</f>
        <v>0</v>
      </c>
      <c r="O27" s="23">
        <f ca="1">IFERROR(__xludf.DUMMYFUNCTION("""COMPUTED_VALUE"""),0)</f>
        <v>0</v>
      </c>
      <c r="P27" s="23">
        <f ca="1">IFERROR(__xludf.DUMMYFUNCTION("""COMPUTED_VALUE"""),0)</f>
        <v>0</v>
      </c>
      <c r="Q27" s="23">
        <f ca="1">IFERROR(__xludf.DUMMYFUNCTION("""COMPUTED_VALUE"""),0)</f>
        <v>0</v>
      </c>
      <c r="R27" s="23">
        <f ca="1">IFERROR(__xludf.DUMMYFUNCTION("""COMPUTED_VALUE"""),0)</f>
        <v>0</v>
      </c>
      <c r="S27" s="23">
        <f ca="1">IFERROR(__xludf.DUMMYFUNCTION("""COMPUTED_VALUE"""),1)</f>
        <v>1</v>
      </c>
    </row>
    <row r="28" spans="1:19">
      <c r="A28" s="23" t="str">
        <f ca="1">IFERROR(__xludf.DUMMYFUNCTION("""COMPUTED_VALUE"""),"OTROS DELITOS QUE ATENTEN CONTRA LA LIBERTAD Y SEGURIDAD SEXUAL")</f>
        <v>OTROS DELITOS QUE ATENTEN CONTRA LA LIBERTAD Y SEGURIDAD SEXUAL</v>
      </c>
      <c r="B28" s="23">
        <f ca="1">IFERROR(__xludf.DUMMYFUNCTION("""COMPUTED_VALUE"""),1)</f>
        <v>1</v>
      </c>
      <c r="C28" s="23"/>
      <c r="D28" s="23" t="str">
        <f ca="1">IFERROR(__xludf.DUMMYFUNCTION("""COMPUTED_VALUE"""),"ASCENDENTE")</f>
        <v>ASCENDENTE</v>
      </c>
      <c r="E28" s="23" t="str">
        <f ca="1">IFERROR(__xludf.DUMMYFUNCTION("""COMPUTED_VALUE"""),"BITACORA OPERATIVA")</f>
        <v>BITACORA OPERATIVA</v>
      </c>
      <c r="F28" s="23">
        <f ca="1">IFERROR(__xludf.DUMMYFUNCTION("""COMPUTED_VALUE"""),0)</f>
        <v>0</v>
      </c>
      <c r="G28" s="23">
        <f ca="1">IFERROR(__xludf.DUMMYFUNCTION("""COMPUTED_VALUE"""),0)</f>
        <v>0</v>
      </c>
      <c r="H28" s="23">
        <f ca="1">IFERROR(__xludf.DUMMYFUNCTION("""COMPUTED_VALUE"""),0)</f>
        <v>0</v>
      </c>
      <c r="I28" s="23">
        <f ca="1">IFERROR(__xludf.DUMMYFUNCTION("""COMPUTED_VALUE"""),0)</f>
        <v>0</v>
      </c>
      <c r="J28" s="23">
        <f ca="1">IFERROR(__xludf.DUMMYFUNCTION("""COMPUTED_VALUE"""),0)</f>
        <v>0</v>
      </c>
      <c r="K28" s="23">
        <f ca="1">IFERROR(__xludf.DUMMYFUNCTION("""COMPUTED_VALUE"""),0)</f>
        <v>0</v>
      </c>
      <c r="L28" s="23">
        <f ca="1">IFERROR(__xludf.DUMMYFUNCTION("""COMPUTED_VALUE"""),0)</f>
        <v>0</v>
      </c>
      <c r="M28" s="23">
        <f ca="1">IFERROR(__xludf.DUMMYFUNCTION("""COMPUTED_VALUE"""),0)</f>
        <v>0</v>
      </c>
      <c r="N28" s="23">
        <f ca="1">IFERROR(__xludf.DUMMYFUNCTION("""COMPUTED_VALUE"""),0)</f>
        <v>0</v>
      </c>
      <c r="O28" s="23">
        <f ca="1">IFERROR(__xludf.DUMMYFUNCTION("""COMPUTED_VALUE"""),0)</f>
        <v>0</v>
      </c>
      <c r="P28" s="23">
        <f ca="1">IFERROR(__xludf.DUMMYFUNCTION("""COMPUTED_VALUE"""),0)</f>
        <v>0</v>
      </c>
      <c r="Q28" s="23">
        <f ca="1">IFERROR(__xludf.DUMMYFUNCTION("""COMPUTED_VALUE"""),0)</f>
        <v>0</v>
      </c>
      <c r="R28" s="23">
        <f ca="1">IFERROR(__xludf.DUMMYFUNCTION("""COMPUTED_VALUE"""),0)</f>
        <v>0</v>
      </c>
      <c r="S28" s="23">
        <f ca="1">IFERROR(__xludf.DUMMYFUNCTION("""COMPUTED_VALUE"""),0)</f>
        <v>0</v>
      </c>
    </row>
    <row r="29" spans="1:19">
      <c r="A29" s="23" t="str">
        <f ca="1">IFERROR(__xludf.DUMMYFUNCTION("""COMPUTED_VALUE"""),"ROBO SIMPLE")</f>
        <v>ROBO SIMPLE</v>
      </c>
      <c r="B29" s="23">
        <f ca="1">IFERROR(__xludf.DUMMYFUNCTION("""COMPUTED_VALUE"""),1)</f>
        <v>1</v>
      </c>
      <c r="C29" s="23"/>
      <c r="D29" s="23" t="str">
        <f ca="1">IFERROR(__xludf.DUMMYFUNCTION("""COMPUTED_VALUE"""),"ASCENDENTE")</f>
        <v>ASCENDENTE</v>
      </c>
      <c r="E29" s="23" t="str">
        <f ca="1">IFERROR(__xludf.DUMMYFUNCTION("""COMPUTED_VALUE"""),"BITACORA OPERATIVA")</f>
        <v>BITACORA OPERATIVA</v>
      </c>
      <c r="F29" s="23">
        <f ca="1">IFERROR(__xludf.DUMMYFUNCTION("""COMPUTED_VALUE"""),0)</f>
        <v>0</v>
      </c>
      <c r="G29" s="23">
        <f ca="1">IFERROR(__xludf.DUMMYFUNCTION("""COMPUTED_VALUE"""),0)</f>
        <v>0</v>
      </c>
      <c r="H29" s="23">
        <f ca="1">IFERROR(__xludf.DUMMYFUNCTION("""COMPUTED_VALUE"""),0)</f>
        <v>0</v>
      </c>
      <c r="I29" s="23">
        <f ca="1">IFERROR(__xludf.DUMMYFUNCTION("""COMPUTED_VALUE"""),0)</f>
        <v>0</v>
      </c>
      <c r="J29" s="23">
        <f ca="1">IFERROR(__xludf.DUMMYFUNCTION("""COMPUTED_VALUE"""),0)</f>
        <v>0</v>
      </c>
      <c r="K29" s="23">
        <f ca="1">IFERROR(__xludf.DUMMYFUNCTION("""COMPUTED_VALUE"""),0)</f>
        <v>0</v>
      </c>
      <c r="L29" s="23">
        <f ca="1">IFERROR(__xludf.DUMMYFUNCTION("""COMPUTED_VALUE"""),0)</f>
        <v>0</v>
      </c>
      <c r="M29" s="23">
        <f ca="1">IFERROR(__xludf.DUMMYFUNCTION("""COMPUTED_VALUE"""),0)</f>
        <v>0</v>
      </c>
      <c r="N29" s="23">
        <f ca="1">IFERROR(__xludf.DUMMYFUNCTION("""COMPUTED_VALUE"""),0)</f>
        <v>0</v>
      </c>
      <c r="O29" s="23">
        <f ca="1">IFERROR(__xludf.DUMMYFUNCTION("""COMPUTED_VALUE"""),0)</f>
        <v>0</v>
      </c>
      <c r="P29" s="23">
        <f ca="1">IFERROR(__xludf.DUMMYFUNCTION("""COMPUTED_VALUE"""),0)</f>
        <v>0</v>
      </c>
      <c r="Q29" s="23">
        <f ca="1">IFERROR(__xludf.DUMMYFUNCTION("""COMPUTED_VALUE"""),0)</f>
        <v>0</v>
      </c>
      <c r="R29" s="23">
        <f ca="1">IFERROR(__xludf.DUMMYFUNCTION("""COMPUTED_VALUE"""),0)</f>
        <v>0</v>
      </c>
      <c r="S29" s="23">
        <f ca="1">IFERROR(__xludf.DUMMYFUNCTION("""COMPUTED_VALUE"""),0)</f>
        <v>0</v>
      </c>
    </row>
    <row r="30" spans="1:19">
      <c r="A30" s="23" t="str">
        <f ca="1">IFERROR(__xludf.DUMMYFUNCTION("""COMPUTED_VALUE"""),"ROBO A CASA HABITACIÓN")</f>
        <v>ROBO A CASA HABITACIÓN</v>
      </c>
      <c r="B30" s="23">
        <f ca="1">IFERROR(__xludf.DUMMYFUNCTION("""COMPUTED_VALUE"""),1)</f>
        <v>1</v>
      </c>
      <c r="C30" s="23"/>
      <c r="D30" s="23" t="str">
        <f ca="1">IFERROR(__xludf.DUMMYFUNCTION("""COMPUTED_VALUE"""),"ASCENDENTE")</f>
        <v>ASCENDENTE</v>
      </c>
      <c r="E30" s="23" t="str">
        <f ca="1">IFERROR(__xludf.DUMMYFUNCTION("""COMPUTED_VALUE"""),"BITACORA OPERATIVA")</f>
        <v>BITACORA OPERATIVA</v>
      </c>
      <c r="F30" s="23">
        <f ca="1">IFERROR(__xludf.DUMMYFUNCTION("""COMPUTED_VALUE"""),0)</f>
        <v>0</v>
      </c>
      <c r="G30" s="23">
        <f ca="1">IFERROR(__xludf.DUMMYFUNCTION("""COMPUTED_VALUE"""),0)</f>
        <v>0</v>
      </c>
      <c r="H30" s="23">
        <f ca="1">IFERROR(__xludf.DUMMYFUNCTION("""COMPUTED_VALUE"""),0)</f>
        <v>0</v>
      </c>
      <c r="I30" s="23">
        <f ca="1">IFERROR(__xludf.DUMMYFUNCTION("""COMPUTED_VALUE"""),0)</f>
        <v>0</v>
      </c>
      <c r="J30" s="23">
        <f ca="1">IFERROR(__xludf.DUMMYFUNCTION("""COMPUTED_VALUE"""),0)</f>
        <v>0</v>
      </c>
      <c r="K30" s="23">
        <f ca="1">IFERROR(__xludf.DUMMYFUNCTION("""COMPUTED_VALUE"""),0)</f>
        <v>0</v>
      </c>
      <c r="L30" s="23">
        <f ca="1">IFERROR(__xludf.DUMMYFUNCTION("""COMPUTED_VALUE"""),0)</f>
        <v>0</v>
      </c>
      <c r="M30" s="23">
        <f ca="1">IFERROR(__xludf.DUMMYFUNCTION("""COMPUTED_VALUE"""),0)</f>
        <v>0</v>
      </c>
      <c r="N30" s="23">
        <f ca="1">IFERROR(__xludf.DUMMYFUNCTION("""COMPUTED_VALUE"""),0)</f>
        <v>0</v>
      </c>
      <c r="O30" s="23">
        <f ca="1">IFERROR(__xludf.DUMMYFUNCTION("""COMPUTED_VALUE"""),0)</f>
        <v>0</v>
      </c>
      <c r="P30" s="23">
        <f ca="1">IFERROR(__xludf.DUMMYFUNCTION("""COMPUTED_VALUE"""),0)</f>
        <v>0</v>
      </c>
      <c r="Q30" s="23">
        <f ca="1">IFERROR(__xludf.DUMMYFUNCTION("""COMPUTED_VALUE"""),0)</f>
        <v>0</v>
      </c>
      <c r="R30" s="23">
        <f ca="1">IFERROR(__xludf.DUMMYFUNCTION("""COMPUTED_VALUE"""),0)</f>
        <v>0</v>
      </c>
      <c r="S30" s="23">
        <f ca="1">IFERROR(__xludf.DUMMYFUNCTION("""COMPUTED_VALUE"""),0)</f>
        <v>0</v>
      </c>
    </row>
    <row r="31" spans="1:19">
      <c r="A31" s="23" t="str">
        <f ca="1">IFERROR(__xludf.DUMMYFUNCTION("""COMPUTED_VALUE"""),"ROBO A MOTOCICLETA")</f>
        <v>ROBO A MOTOCICLETA</v>
      </c>
      <c r="B31" s="23">
        <f ca="1">IFERROR(__xludf.DUMMYFUNCTION("""COMPUTED_VALUE"""),1)</f>
        <v>1</v>
      </c>
      <c r="C31" s="23"/>
      <c r="D31" s="23" t="str">
        <f ca="1">IFERROR(__xludf.DUMMYFUNCTION("""COMPUTED_VALUE"""),"ASCENDENTE")</f>
        <v>ASCENDENTE</v>
      </c>
      <c r="E31" s="23" t="str">
        <f ca="1">IFERROR(__xludf.DUMMYFUNCTION("""COMPUTED_VALUE"""),"BITACORA OPERATIVA")</f>
        <v>BITACORA OPERATIVA</v>
      </c>
      <c r="F31" s="23">
        <f ca="1">IFERROR(__xludf.DUMMYFUNCTION("""COMPUTED_VALUE"""),0)</f>
        <v>0</v>
      </c>
      <c r="G31" s="23">
        <f ca="1">IFERROR(__xludf.DUMMYFUNCTION("""COMPUTED_VALUE"""),0)</f>
        <v>0</v>
      </c>
      <c r="H31" s="23">
        <f ca="1">IFERROR(__xludf.DUMMYFUNCTION("""COMPUTED_VALUE"""),0)</f>
        <v>0</v>
      </c>
      <c r="I31" s="23">
        <f ca="1">IFERROR(__xludf.DUMMYFUNCTION("""COMPUTED_VALUE"""),0)</f>
        <v>0</v>
      </c>
      <c r="J31" s="23">
        <f ca="1">IFERROR(__xludf.DUMMYFUNCTION("""COMPUTED_VALUE"""),5)</f>
        <v>5</v>
      </c>
      <c r="K31" s="23">
        <f ca="1">IFERROR(__xludf.DUMMYFUNCTION("""COMPUTED_VALUE"""),9)</f>
        <v>9</v>
      </c>
      <c r="L31" s="23">
        <f ca="1">IFERROR(__xludf.DUMMYFUNCTION("""COMPUTED_VALUE"""),12)</f>
        <v>12</v>
      </c>
      <c r="M31" s="23">
        <f ca="1">IFERROR(__xludf.DUMMYFUNCTION("""COMPUTED_VALUE"""),0)</f>
        <v>0</v>
      </c>
      <c r="N31" s="23">
        <f ca="1">IFERROR(__xludf.DUMMYFUNCTION("""COMPUTED_VALUE"""),0)</f>
        <v>0</v>
      </c>
      <c r="O31" s="23">
        <f ca="1">IFERROR(__xludf.DUMMYFUNCTION("""COMPUTED_VALUE"""),0)</f>
        <v>0</v>
      </c>
      <c r="P31" s="23">
        <f ca="1">IFERROR(__xludf.DUMMYFUNCTION("""COMPUTED_VALUE"""),0)</f>
        <v>0</v>
      </c>
      <c r="Q31" s="23">
        <f ca="1">IFERROR(__xludf.DUMMYFUNCTION("""COMPUTED_VALUE"""),0)</f>
        <v>0</v>
      </c>
      <c r="R31" s="23">
        <f ca="1">IFERROR(__xludf.DUMMYFUNCTION("""COMPUTED_VALUE"""),0)</f>
        <v>0</v>
      </c>
      <c r="S31" s="23">
        <f ca="1">IFERROR(__xludf.DUMMYFUNCTION("""COMPUTED_VALUE"""),26)</f>
        <v>26</v>
      </c>
    </row>
    <row r="32" spans="1:19">
      <c r="A32" s="23" t="str">
        <f ca="1">IFERROR(__xludf.DUMMYFUNCTION("""COMPUTED_VALUE"""),"ROBO A VEHICULOS")</f>
        <v>ROBO A VEHICULOS</v>
      </c>
      <c r="B32" s="23">
        <f ca="1">IFERROR(__xludf.DUMMYFUNCTION("""COMPUTED_VALUE"""),1)</f>
        <v>1</v>
      </c>
      <c r="C32" s="23"/>
      <c r="D32" s="23" t="str">
        <f ca="1">IFERROR(__xludf.DUMMYFUNCTION("""COMPUTED_VALUE"""),"ASCENDENTE")</f>
        <v>ASCENDENTE</v>
      </c>
      <c r="E32" s="23" t="str">
        <f ca="1">IFERROR(__xludf.DUMMYFUNCTION("""COMPUTED_VALUE"""),"BITACORA OPERATIVA")</f>
        <v>BITACORA OPERATIVA</v>
      </c>
      <c r="F32" s="23">
        <f ca="1">IFERROR(__xludf.DUMMYFUNCTION("""COMPUTED_VALUE"""),0)</f>
        <v>0</v>
      </c>
      <c r="G32" s="23">
        <f ca="1">IFERROR(__xludf.DUMMYFUNCTION("""COMPUTED_VALUE"""),0)</f>
        <v>0</v>
      </c>
      <c r="H32" s="23">
        <f ca="1">IFERROR(__xludf.DUMMYFUNCTION("""COMPUTED_VALUE"""),0)</f>
        <v>0</v>
      </c>
      <c r="I32" s="23">
        <f ca="1">IFERROR(__xludf.DUMMYFUNCTION("""COMPUTED_VALUE"""),0)</f>
        <v>0</v>
      </c>
      <c r="J32" s="23">
        <f ca="1">IFERROR(__xludf.DUMMYFUNCTION("""COMPUTED_VALUE"""),2)</f>
        <v>2</v>
      </c>
      <c r="K32" s="23">
        <f ca="1">IFERROR(__xludf.DUMMYFUNCTION("""COMPUTED_VALUE"""),2)</f>
        <v>2</v>
      </c>
      <c r="L32" s="23">
        <f ca="1">IFERROR(__xludf.DUMMYFUNCTION("""COMPUTED_VALUE"""),0)</f>
        <v>0</v>
      </c>
      <c r="M32" s="23">
        <f ca="1">IFERROR(__xludf.DUMMYFUNCTION("""COMPUTED_VALUE"""),0)</f>
        <v>0</v>
      </c>
      <c r="N32" s="23">
        <f ca="1">IFERROR(__xludf.DUMMYFUNCTION("""COMPUTED_VALUE"""),0)</f>
        <v>0</v>
      </c>
      <c r="O32" s="23">
        <f ca="1">IFERROR(__xludf.DUMMYFUNCTION("""COMPUTED_VALUE"""),0)</f>
        <v>0</v>
      </c>
      <c r="P32" s="23">
        <f ca="1">IFERROR(__xludf.DUMMYFUNCTION("""COMPUTED_VALUE"""),0)</f>
        <v>0</v>
      </c>
      <c r="Q32" s="23">
        <f ca="1">IFERROR(__xludf.DUMMYFUNCTION("""COMPUTED_VALUE"""),0)</f>
        <v>0</v>
      </c>
      <c r="R32" s="23">
        <f ca="1">IFERROR(__xludf.DUMMYFUNCTION("""COMPUTED_VALUE"""),0)</f>
        <v>0</v>
      </c>
      <c r="S32" s="23">
        <f ca="1">IFERROR(__xludf.DUMMYFUNCTION("""COMPUTED_VALUE"""),4)</f>
        <v>4</v>
      </c>
    </row>
    <row r="33" spans="1:19">
      <c r="A33" s="23" t="str">
        <f ca="1">IFERROR(__xludf.DUMMYFUNCTION("""COMPUTED_VALUE"""),"OTROS ROBOS")</f>
        <v>OTROS ROBOS</v>
      </c>
      <c r="B33" s="23">
        <f ca="1">IFERROR(__xludf.DUMMYFUNCTION("""COMPUTED_VALUE"""),1)</f>
        <v>1</v>
      </c>
      <c r="C33" s="23"/>
      <c r="D33" s="23" t="str">
        <f ca="1">IFERROR(__xludf.DUMMYFUNCTION("""COMPUTED_VALUE"""),"ASCENDENTE")</f>
        <v>ASCENDENTE</v>
      </c>
      <c r="E33" s="23" t="str">
        <f ca="1">IFERROR(__xludf.DUMMYFUNCTION("""COMPUTED_VALUE"""),"BITACORA OPERATIVA")</f>
        <v>BITACORA OPERATIVA</v>
      </c>
      <c r="F33" s="23">
        <f ca="1">IFERROR(__xludf.DUMMYFUNCTION("""COMPUTED_VALUE"""),0)</f>
        <v>0</v>
      </c>
      <c r="G33" s="23">
        <f ca="1">IFERROR(__xludf.DUMMYFUNCTION("""COMPUTED_VALUE"""),0)</f>
        <v>0</v>
      </c>
      <c r="H33" s="23">
        <f ca="1">IFERROR(__xludf.DUMMYFUNCTION("""COMPUTED_VALUE"""),0)</f>
        <v>0</v>
      </c>
      <c r="I33" s="23">
        <f ca="1">IFERROR(__xludf.DUMMYFUNCTION("""COMPUTED_VALUE"""),0)</f>
        <v>0</v>
      </c>
      <c r="J33" s="23">
        <f ca="1">IFERROR(__xludf.DUMMYFUNCTION("""COMPUTED_VALUE"""),0)</f>
        <v>0</v>
      </c>
      <c r="K33" s="23">
        <f ca="1">IFERROR(__xludf.DUMMYFUNCTION("""COMPUTED_VALUE"""),0)</f>
        <v>0</v>
      </c>
      <c r="L33" s="23">
        <f ca="1">IFERROR(__xludf.DUMMYFUNCTION("""COMPUTED_VALUE"""),0)</f>
        <v>0</v>
      </c>
      <c r="M33" s="23">
        <f ca="1">IFERROR(__xludf.DUMMYFUNCTION("""COMPUTED_VALUE"""),0)</f>
        <v>0</v>
      </c>
      <c r="N33" s="23">
        <f ca="1">IFERROR(__xludf.DUMMYFUNCTION("""COMPUTED_VALUE"""),0)</f>
        <v>0</v>
      </c>
      <c r="O33" s="23">
        <f ca="1">IFERROR(__xludf.DUMMYFUNCTION("""COMPUTED_VALUE"""),0)</f>
        <v>0</v>
      </c>
      <c r="P33" s="23">
        <f ca="1">IFERROR(__xludf.DUMMYFUNCTION("""COMPUTED_VALUE"""),0)</f>
        <v>0</v>
      </c>
      <c r="Q33" s="23">
        <f ca="1">IFERROR(__xludf.DUMMYFUNCTION("""COMPUTED_VALUE"""),0)</f>
        <v>0</v>
      </c>
      <c r="R33" s="23">
        <f ca="1">IFERROR(__xludf.DUMMYFUNCTION("""COMPUTED_VALUE"""),0)</f>
        <v>0</v>
      </c>
      <c r="S33" s="23">
        <f ca="1">IFERROR(__xludf.DUMMYFUNCTION("""COMPUTED_VALUE"""),0)</f>
        <v>0</v>
      </c>
    </row>
    <row r="34" spans="1:19">
      <c r="A34" s="23" t="str">
        <f ca="1">IFERROR(__xludf.DUMMYFUNCTION("""COMPUTED_VALUE"""),"REPORTES VIOLENCIA INTRAFAMILIAR")</f>
        <v>REPORTES VIOLENCIA INTRAFAMILIAR</v>
      </c>
      <c r="B34" s="23">
        <f ca="1">IFERROR(__xludf.DUMMYFUNCTION("""COMPUTED_VALUE"""),1)</f>
        <v>1</v>
      </c>
      <c r="C34" s="23"/>
      <c r="D34" s="23" t="str">
        <f ca="1">IFERROR(__xludf.DUMMYFUNCTION("""COMPUTED_VALUE"""),"ASCENDENTE")</f>
        <v>ASCENDENTE</v>
      </c>
      <c r="E34" s="23" t="str">
        <f ca="1">IFERROR(__xludf.DUMMYFUNCTION("""COMPUTED_VALUE"""),"BITACORA OPERATIVA")</f>
        <v>BITACORA OPERATIVA</v>
      </c>
      <c r="F34" s="23">
        <f ca="1">IFERROR(__xludf.DUMMYFUNCTION("""COMPUTED_VALUE"""),0)</f>
        <v>0</v>
      </c>
      <c r="G34" s="23">
        <f ca="1">IFERROR(__xludf.DUMMYFUNCTION("""COMPUTED_VALUE"""),0)</f>
        <v>0</v>
      </c>
      <c r="H34" s="23">
        <f ca="1">IFERROR(__xludf.DUMMYFUNCTION("""COMPUTED_VALUE"""),0)</f>
        <v>0</v>
      </c>
      <c r="I34" s="23">
        <f ca="1">IFERROR(__xludf.DUMMYFUNCTION("""COMPUTED_VALUE"""),0)</f>
        <v>0</v>
      </c>
      <c r="J34" s="23">
        <f ca="1">IFERROR(__xludf.DUMMYFUNCTION("""COMPUTED_VALUE"""),7)</f>
        <v>7</v>
      </c>
      <c r="K34" s="23">
        <f ca="1">IFERROR(__xludf.DUMMYFUNCTION("""COMPUTED_VALUE"""),20)</f>
        <v>20</v>
      </c>
      <c r="L34" s="23">
        <f ca="1">IFERROR(__xludf.DUMMYFUNCTION("""COMPUTED_VALUE"""),25)</f>
        <v>25</v>
      </c>
      <c r="M34" s="23">
        <f ca="1">IFERROR(__xludf.DUMMYFUNCTION("""COMPUTED_VALUE"""),0)</f>
        <v>0</v>
      </c>
      <c r="N34" s="23">
        <f ca="1">IFERROR(__xludf.DUMMYFUNCTION("""COMPUTED_VALUE"""),0)</f>
        <v>0</v>
      </c>
      <c r="O34" s="23">
        <f ca="1">IFERROR(__xludf.DUMMYFUNCTION("""COMPUTED_VALUE"""),0)</f>
        <v>0</v>
      </c>
      <c r="P34" s="23">
        <f ca="1">IFERROR(__xludf.DUMMYFUNCTION("""COMPUTED_VALUE"""),0)</f>
        <v>0</v>
      </c>
      <c r="Q34" s="23">
        <f ca="1">IFERROR(__xludf.DUMMYFUNCTION("""COMPUTED_VALUE"""),0)</f>
        <v>0</v>
      </c>
      <c r="R34" s="23">
        <f ca="1">IFERROR(__xludf.DUMMYFUNCTION("""COMPUTED_VALUE"""),0)</f>
        <v>0</v>
      </c>
      <c r="S34" s="23">
        <f ca="1">IFERROR(__xludf.DUMMYFUNCTION("""COMPUTED_VALUE"""),52)</f>
        <v>52</v>
      </c>
    </row>
    <row r="35" spans="1:19">
      <c r="A35" s="23" t="str">
        <f ca="1">IFERROR(__xludf.DUMMYFUNCTION("""COMPUTED_VALUE"""),"OTROS DELITOS CONTRA LA FAMILIA")</f>
        <v>OTROS DELITOS CONTRA LA FAMILIA</v>
      </c>
      <c r="B35" s="23">
        <f ca="1">IFERROR(__xludf.DUMMYFUNCTION("""COMPUTED_VALUE"""),1)</f>
        <v>1</v>
      </c>
      <c r="C35" s="23"/>
      <c r="D35" s="23" t="str">
        <f ca="1">IFERROR(__xludf.DUMMYFUNCTION("""COMPUTED_VALUE"""),"ASCENDENTE")</f>
        <v>ASCENDENTE</v>
      </c>
      <c r="E35" s="23" t="str">
        <f ca="1">IFERROR(__xludf.DUMMYFUNCTION("""COMPUTED_VALUE"""),"BITACORA OPERATIVA")</f>
        <v>BITACORA OPERATIVA</v>
      </c>
      <c r="F35" s="23">
        <f ca="1">IFERROR(__xludf.DUMMYFUNCTION("""COMPUTED_VALUE"""),0)</f>
        <v>0</v>
      </c>
      <c r="G35" s="23">
        <f ca="1">IFERROR(__xludf.DUMMYFUNCTION("""COMPUTED_VALUE"""),0)</f>
        <v>0</v>
      </c>
      <c r="H35" s="23">
        <f ca="1">IFERROR(__xludf.DUMMYFUNCTION("""COMPUTED_VALUE"""),0)</f>
        <v>0</v>
      </c>
      <c r="I35" s="23">
        <f ca="1">IFERROR(__xludf.DUMMYFUNCTION("""COMPUTED_VALUE"""),0)</f>
        <v>0</v>
      </c>
      <c r="J35" s="23">
        <f ca="1">IFERROR(__xludf.DUMMYFUNCTION("""COMPUTED_VALUE"""),0)</f>
        <v>0</v>
      </c>
      <c r="K35" s="23">
        <f ca="1">IFERROR(__xludf.DUMMYFUNCTION("""COMPUTED_VALUE"""),0)</f>
        <v>0</v>
      </c>
      <c r="L35" s="23">
        <f ca="1">IFERROR(__xludf.DUMMYFUNCTION("""COMPUTED_VALUE"""),0)</f>
        <v>0</v>
      </c>
      <c r="M35" s="23">
        <f ca="1">IFERROR(__xludf.DUMMYFUNCTION("""COMPUTED_VALUE"""),0)</f>
        <v>0</v>
      </c>
      <c r="N35" s="23">
        <f ca="1">IFERROR(__xludf.DUMMYFUNCTION("""COMPUTED_VALUE"""),0)</f>
        <v>0</v>
      </c>
      <c r="O35" s="23">
        <f ca="1">IFERROR(__xludf.DUMMYFUNCTION("""COMPUTED_VALUE"""),0)</f>
        <v>0</v>
      </c>
      <c r="P35" s="23">
        <f ca="1">IFERROR(__xludf.DUMMYFUNCTION("""COMPUTED_VALUE"""),0)</f>
        <v>0</v>
      </c>
      <c r="Q35" s="23">
        <f ca="1">IFERROR(__xludf.DUMMYFUNCTION("""COMPUTED_VALUE"""),0)</f>
        <v>0</v>
      </c>
      <c r="R35" s="23">
        <f ca="1">IFERROR(__xludf.DUMMYFUNCTION("""COMPUTED_VALUE"""),0)</f>
        <v>0</v>
      </c>
      <c r="S35" s="23">
        <f ca="1">IFERROR(__xludf.DUMMYFUNCTION("""COMPUTED_VALUE"""),0)</f>
        <v>0</v>
      </c>
    </row>
    <row r="36" spans="1:19">
      <c r="A36" s="23" t="str">
        <f ca="1">IFERROR(__xludf.DUMMYFUNCTION("""COMPUTED_VALUE"""),"SANCIONES A MOTOCICLETAS")</f>
        <v>SANCIONES A MOTOCICLETAS</v>
      </c>
      <c r="B36" s="23">
        <f ca="1">IFERROR(__xludf.DUMMYFUNCTION("""COMPUTED_VALUE"""),1)</f>
        <v>1</v>
      </c>
      <c r="C36" s="23"/>
      <c r="D36" s="23" t="str">
        <f ca="1">IFERROR(__xludf.DUMMYFUNCTION("""COMPUTED_VALUE"""),"ASCENDENTE")</f>
        <v>ASCENDENTE</v>
      </c>
      <c r="E36" s="23" t="str">
        <f ca="1">IFERROR(__xludf.DUMMYFUNCTION("""COMPUTED_VALUE"""),"BITACORA OPERATIVA")</f>
        <v>BITACORA OPERATIVA</v>
      </c>
      <c r="F36" s="23">
        <f ca="1">IFERROR(__xludf.DUMMYFUNCTION("""COMPUTED_VALUE"""),0)</f>
        <v>0</v>
      </c>
      <c r="G36" s="23">
        <f ca="1">IFERROR(__xludf.DUMMYFUNCTION("""COMPUTED_VALUE"""),0)</f>
        <v>0</v>
      </c>
      <c r="H36" s="23">
        <f ca="1">IFERROR(__xludf.DUMMYFUNCTION("""COMPUTED_VALUE"""),0)</f>
        <v>0</v>
      </c>
      <c r="I36" s="23">
        <f ca="1">IFERROR(__xludf.DUMMYFUNCTION("""COMPUTED_VALUE"""),0)</f>
        <v>0</v>
      </c>
      <c r="J36" s="23">
        <f ca="1">IFERROR(__xludf.DUMMYFUNCTION("""COMPUTED_VALUE"""),378)</f>
        <v>378</v>
      </c>
      <c r="K36" s="23">
        <f ca="1">IFERROR(__xludf.DUMMYFUNCTION("""COMPUTED_VALUE"""),363)</f>
        <v>363</v>
      </c>
      <c r="L36" s="23">
        <f ca="1">IFERROR(__xludf.DUMMYFUNCTION("""COMPUTED_VALUE"""),375)</f>
        <v>375</v>
      </c>
      <c r="M36" s="23">
        <f ca="1">IFERROR(__xludf.DUMMYFUNCTION("""COMPUTED_VALUE"""),0)</f>
        <v>0</v>
      </c>
      <c r="N36" s="23">
        <f ca="1">IFERROR(__xludf.DUMMYFUNCTION("""COMPUTED_VALUE"""),0)</f>
        <v>0</v>
      </c>
      <c r="O36" s="23">
        <f ca="1">IFERROR(__xludf.DUMMYFUNCTION("""COMPUTED_VALUE"""),0)</f>
        <v>0</v>
      </c>
      <c r="P36" s="23">
        <f ca="1">IFERROR(__xludf.DUMMYFUNCTION("""COMPUTED_VALUE"""),0)</f>
        <v>0</v>
      </c>
      <c r="Q36" s="23">
        <f ca="1">IFERROR(__xludf.DUMMYFUNCTION("""COMPUTED_VALUE"""),0)</f>
        <v>0</v>
      </c>
      <c r="R36" s="23">
        <f ca="1">IFERROR(__xludf.DUMMYFUNCTION("""COMPUTED_VALUE"""),0)</f>
        <v>0</v>
      </c>
      <c r="S36" s="23">
        <f ca="1">IFERROR(__xludf.DUMMYFUNCTION("""COMPUTED_VALUE"""),1116)</f>
        <v>1116</v>
      </c>
    </row>
    <row r="37" spans="1:19">
      <c r="A37" s="23" t="str">
        <f ca="1">IFERROR(__xludf.DUMMYFUNCTION("""COMPUTED_VALUE"""),"SANCIONES A AUTOMÓVILES")</f>
        <v>SANCIONES A AUTOMÓVILES</v>
      </c>
      <c r="B37" s="23">
        <f ca="1">IFERROR(__xludf.DUMMYFUNCTION("""COMPUTED_VALUE"""),1)</f>
        <v>1</v>
      </c>
      <c r="C37" s="23"/>
      <c r="D37" s="23" t="str">
        <f ca="1">IFERROR(__xludf.DUMMYFUNCTION("""COMPUTED_VALUE"""),"ASCENDENTE")</f>
        <v>ASCENDENTE</v>
      </c>
      <c r="E37" s="23" t="str">
        <f ca="1">IFERROR(__xludf.DUMMYFUNCTION("""COMPUTED_VALUE"""),"BITACORA OPERATIVA")</f>
        <v>BITACORA OPERATIVA</v>
      </c>
      <c r="F37" s="23">
        <f ca="1">IFERROR(__xludf.DUMMYFUNCTION("""COMPUTED_VALUE"""),0)</f>
        <v>0</v>
      </c>
      <c r="G37" s="23">
        <f ca="1">IFERROR(__xludf.DUMMYFUNCTION("""COMPUTED_VALUE"""),0)</f>
        <v>0</v>
      </c>
      <c r="H37" s="23">
        <f ca="1">IFERROR(__xludf.DUMMYFUNCTION("""COMPUTED_VALUE"""),0)</f>
        <v>0</v>
      </c>
      <c r="I37" s="23">
        <f ca="1">IFERROR(__xludf.DUMMYFUNCTION("""COMPUTED_VALUE"""),0)</f>
        <v>0</v>
      </c>
      <c r="J37" s="23">
        <f ca="1">IFERROR(__xludf.DUMMYFUNCTION("""COMPUTED_VALUE"""),160)</f>
        <v>160</v>
      </c>
      <c r="K37" s="23">
        <f ca="1">IFERROR(__xludf.DUMMYFUNCTION("""COMPUTED_VALUE"""),177)</f>
        <v>177</v>
      </c>
      <c r="L37" s="23">
        <f ca="1">IFERROR(__xludf.DUMMYFUNCTION("""COMPUTED_VALUE"""),195)</f>
        <v>195</v>
      </c>
      <c r="M37" s="23">
        <f ca="1">IFERROR(__xludf.DUMMYFUNCTION("""COMPUTED_VALUE"""),0)</f>
        <v>0</v>
      </c>
      <c r="N37" s="23">
        <f ca="1">IFERROR(__xludf.DUMMYFUNCTION("""COMPUTED_VALUE"""),0)</f>
        <v>0</v>
      </c>
      <c r="O37" s="23">
        <f ca="1">IFERROR(__xludf.DUMMYFUNCTION("""COMPUTED_VALUE"""),0)</f>
        <v>0</v>
      </c>
      <c r="P37" s="23">
        <f ca="1">IFERROR(__xludf.DUMMYFUNCTION("""COMPUTED_VALUE"""),0)</f>
        <v>0</v>
      </c>
      <c r="Q37" s="23">
        <f ca="1">IFERROR(__xludf.DUMMYFUNCTION("""COMPUTED_VALUE"""),0)</f>
        <v>0</v>
      </c>
      <c r="R37" s="23">
        <f ca="1">IFERROR(__xludf.DUMMYFUNCTION("""COMPUTED_VALUE"""),0)</f>
        <v>0</v>
      </c>
      <c r="S37" s="23">
        <f ca="1">IFERROR(__xludf.DUMMYFUNCTION("""COMPUTED_VALUE"""),532)</f>
        <v>532</v>
      </c>
    </row>
    <row r="38" spans="1:19">
      <c r="A38" s="23" t="str">
        <f ca="1">IFERROR(__xludf.DUMMYFUNCTION("""COMPUTED_VALUE"""),"SANCIONES A VEHÍCULOS DE CARGA PESADA ")</f>
        <v xml:space="preserve">SANCIONES A VEHÍCULOS DE CARGA PESADA </v>
      </c>
      <c r="B38" s="23">
        <f ca="1">IFERROR(__xludf.DUMMYFUNCTION("""COMPUTED_VALUE"""),1)</f>
        <v>1</v>
      </c>
      <c r="C38" s="23"/>
      <c r="D38" s="23" t="str">
        <f ca="1">IFERROR(__xludf.DUMMYFUNCTION("""COMPUTED_VALUE"""),"ASCENDENTE")</f>
        <v>ASCENDENTE</v>
      </c>
      <c r="E38" s="23" t="str">
        <f ca="1">IFERROR(__xludf.DUMMYFUNCTION("""COMPUTED_VALUE"""),"BITACORA OPERATIVA")</f>
        <v>BITACORA OPERATIVA</v>
      </c>
      <c r="F38" s="23">
        <f ca="1">IFERROR(__xludf.DUMMYFUNCTION("""COMPUTED_VALUE"""),0)</f>
        <v>0</v>
      </c>
      <c r="G38" s="23">
        <f ca="1">IFERROR(__xludf.DUMMYFUNCTION("""COMPUTED_VALUE"""),0)</f>
        <v>0</v>
      </c>
      <c r="H38" s="23">
        <f ca="1">IFERROR(__xludf.DUMMYFUNCTION("""COMPUTED_VALUE"""),0)</f>
        <v>0</v>
      </c>
      <c r="I38" s="23">
        <f ca="1">IFERROR(__xludf.DUMMYFUNCTION("""COMPUTED_VALUE"""),0)</f>
        <v>0</v>
      </c>
      <c r="J38" s="23">
        <f ca="1">IFERROR(__xludf.DUMMYFUNCTION("""COMPUTED_VALUE"""),2)</f>
        <v>2</v>
      </c>
      <c r="K38" s="23">
        <f ca="1">IFERROR(__xludf.DUMMYFUNCTION("""COMPUTED_VALUE"""),14)</f>
        <v>14</v>
      </c>
      <c r="L38" s="23">
        <f ca="1">IFERROR(__xludf.DUMMYFUNCTION("""COMPUTED_VALUE"""),20)</f>
        <v>20</v>
      </c>
      <c r="M38" s="23">
        <f ca="1">IFERROR(__xludf.DUMMYFUNCTION("""COMPUTED_VALUE"""),0)</f>
        <v>0</v>
      </c>
      <c r="N38" s="23">
        <f ca="1">IFERROR(__xludf.DUMMYFUNCTION("""COMPUTED_VALUE"""),0)</f>
        <v>0</v>
      </c>
      <c r="O38" s="23">
        <f ca="1">IFERROR(__xludf.DUMMYFUNCTION("""COMPUTED_VALUE"""),0)</f>
        <v>0</v>
      </c>
      <c r="P38" s="23">
        <f ca="1">IFERROR(__xludf.DUMMYFUNCTION("""COMPUTED_VALUE"""),0)</f>
        <v>0</v>
      </c>
      <c r="Q38" s="23">
        <f ca="1">IFERROR(__xludf.DUMMYFUNCTION("""COMPUTED_VALUE"""),0)</f>
        <v>0</v>
      </c>
      <c r="R38" s="23">
        <f ca="1">IFERROR(__xludf.DUMMYFUNCTION("""COMPUTED_VALUE"""),0)</f>
        <v>0</v>
      </c>
      <c r="S38" s="23">
        <f ca="1">IFERROR(__xludf.DUMMYFUNCTION("""COMPUTED_VALUE"""),36)</f>
        <v>36</v>
      </c>
    </row>
    <row r="39" spans="1:19">
      <c r="A39" s="23" t="str">
        <f ca="1">IFERROR(__xludf.DUMMYFUNCTION("""COMPUTED_VALUE"""),"SANCIONES AL TRANSPORTE PUBLICO")</f>
        <v>SANCIONES AL TRANSPORTE PUBLICO</v>
      </c>
      <c r="B39" s="23">
        <f ca="1">IFERROR(__xludf.DUMMYFUNCTION("""COMPUTED_VALUE"""),1)</f>
        <v>1</v>
      </c>
      <c r="C39" s="23"/>
      <c r="D39" s="23" t="str">
        <f ca="1">IFERROR(__xludf.DUMMYFUNCTION("""COMPUTED_VALUE"""),"ASCENDENTE")</f>
        <v>ASCENDENTE</v>
      </c>
      <c r="E39" s="23" t="str">
        <f ca="1">IFERROR(__xludf.DUMMYFUNCTION("""COMPUTED_VALUE"""),"BITACORA OPERATIVA")</f>
        <v>BITACORA OPERATIVA</v>
      </c>
      <c r="F39" s="23">
        <f ca="1">IFERROR(__xludf.DUMMYFUNCTION("""COMPUTED_VALUE"""),0)</f>
        <v>0</v>
      </c>
      <c r="G39" s="23">
        <f ca="1">IFERROR(__xludf.DUMMYFUNCTION("""COMPUTED_VALUE"""),0)</f>
        <v>0</v>
      </c>
      <c r="H39" s="23">
        <f ca="1">IFERROR(__xludf.DUMMYFUNCTION("""COMPUTED_VALUE"""),0)</f>
        <v>0</v>
      </c>
      <c r="I39" s="23">
        <f ca="1">IFERROR(__xludf.DUMMYFUNCTION("""COMPUTED_VALUE"""),0)</f>
        <v>0</v>
      </c>
      <c r="J39" s="23">
        <f ca="1">IFERROR(__xludf.DUMMYFUNCTION("""COMPUTED_VALUE"""),2)</f>
        <v>2</v>
      </c>
      <c r="K39" s="23">
        <f ca="1">IFERROR(__xludf.DUMMYFUNCTION("""COMPUTED_VALUE"""),4)</f>
        <v>4</v>
      </c>
      <c r="L39" s="23">
        <f ca="1">IFERROR(__xludf.DUMMYFUNCTION("""COMPUTED_VALUE"""),24)</f>
        <v>24</v>
      </c>
      <c r="M39" s="23">
        <f ca="1">IFERROR(__xludf.DUMMYFUNCTION("""COMPUTED_VALUE"""),0)</f>
        <v>0</v>
      </c>
      <c r="N39" s="23">
        <f ca="1">IFERROR(__xludf.DUMMYFUNCTION("""COMPUTED_VALUE"""),0)</f>
        <v>0</v>
      </c>
      <c r="O39" s="23">
        <f ca="1">IFERROR(__xludf.DUMMYFUNCTION("""COMPUTED_VALUE"""),0)</f>
        <v>0</v>
      </c>
      <c r="P39" s="23">
        <f ca="1">IFERROR(__xludf.DUMMYFUNCTION("""COMPUTED_VALUE"""),0)</f>
        <v>0</v>
      </c>
      <c r="Q39" s="23">
        <f ca="1">IFERROR(__xludf.DUMMYFUNCTION("""COMPUTED_VALUE"""),0)</f>
        <v>0</v>
      </c>
      <c r="R39" s="23">
        <f ca="1">IFERROR(__xludf.DUMMYFUNCTION("""COMPUTED_VALUE"""),0)</f>
        <v>0</v>
      </c>
      <c r="S39" s="23">
        <f ca="1">IFERROR(__xludf.DUMMYFUNCTION("""COMPUTED_VALUE"""),30)</f>
        <v>30</v>
      </c>
    </row>
    <row r="40" spans="1:19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</row>
    <row r="41" spans="1:19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</row>
    <row r="42" spans="1:19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</row>
    <row r="43" spans="1:19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</row>
    <row r="44" spans="1:19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</row>
    <row r="45" spans="1:19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</row>
    <row r="46" spans="1:19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</row>
    <row r="47" spans="1:19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</row>
    <row r="48" spans="1:19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</row>
    <row r="49" spans="1:19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</row>
    <row r="50" spans="1:19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</row>
    <row r="51" spans="1:19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</row>
    <row r="52" spans="1:19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</row>
    <row r="53" spans="1:19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</row>
    <row r="54" spans="1:19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</row>
    <row r="55" spans="1:19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</row>
    <row r="56" spans="1:19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</row>
    <row r="57" spans="1:19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</row>
    <row r="58" spans="1:19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</row>
    <row r="59" spans="1:19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</row>
    <row r="60" spans="1:19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</row>
    <row r="61" spans="1:19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</row>
    <row r="62" spans="1:19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</row>
    <row r="63" spans="1:19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</row>
    <row r="64" spans="1:19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</row>
    <row r="65" spans="1:19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</row>
    <row r="66" spans="1:19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</row>
    <row r="67" spans="1:19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</row>
    <row r="68" spans="1:19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</row>
    <row r="69" spans="1:19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</row>
    <row r="70" spans="1:19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</row>
    <row r="71" spans="1:19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</row>
    <row r="72" spans="1:19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</row>
    <row r="73" spans="1:19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</row>
    <row r="74" spans="1:19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</row>
    <row r="75" spans="1:19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</row>
    <row r="76" spans="1:19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</row>
    <row r="77" spans="1:19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</row>
    <row r="78" spans="1:19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</row>
    <row r="79" spans="1:19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</row>
    <row r="80" spans="1:19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</row>
    <row r="81" spans="1:19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</row>
    <row r="82" spans="1:19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</row>
    <row r="83" spans="1:19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</row>
    <row r="84" spans="1:19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</row>
    <row r="85" spans="1:19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</row>
    <row r="86" spans="1:19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</row>
    <row r="87" spans="1:19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</row>
    <row r="88" spans="1:19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</row>
    <row r="89" spans="1:19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</row>
    <row r="90" spans="1:19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</row>
    <row r="91" spans="1:19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</row>
    <row r="92" spans="1:19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</row>
    <row r="93" spans="1:19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</row>
    <row r="94" spans="1:19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</row>
    <row r="95" spans="1:19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</row>
    <row r="96" spans="1:19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</row>
    <row r="97" spans="1:19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</row>
    <row r="98" spans="1:19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</row>
    <row r="99" spans="1:19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</row>
    <row r="100" spans="1:19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</row>
    <row r="101" spans="1:19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</row>
    <row r="102" spans="1:19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</row>
    <row r="103" spans="1:19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</row>
    <row r="104" spans="1:19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</row>
    <row r="105" spans="1:19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</row>
    <row r="106" spans="1:19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</row>
    <row r="107" spans="1:19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</row>
    <row r="108" spans="1:19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</row>
    <row r="109" spans="1:19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</row>
    <row r="110" spans="1:19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</row>
    <row r="111" spans="1:19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</row>
    <row r="112" spans="1:19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</row>
    <row r="113" spans="1:19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</row>
    <row r="114" spans="1:19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</row>
    <row r="115" spans="1:19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</row>
    <row r="116" spans="1:19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</row>
    <row r="117" spans="1:19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</row>
    <row r="118" spans="1:19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</row>
    <row r="119" spans="1:19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</row>
    <row r="120" spans="1:19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</row>
    <row r="121" spans="1:19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</row>
    <row r="122" spans="1:19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</row>
    <row r="123" spans="1:19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</row>
    <row r="124" spans="1:19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</row>
    <row r="125" spans="1:19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</row>
    <row r="126" spans="1:19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</row>
    <row r="127" spans="1:19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</row>
    <row r="128" spans="1:19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</row>
    <row r="129" spans="1:19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</row>
    <row r="130" spans="1:19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</row>
    <row r="131" spans="1:19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</row>
    <row r="132" spans="1:19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</row>
    <row r="133" spans="1:19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</row>
    <row r="134" spans="1:19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</row>
    <row r="135" spans="1:19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</row>
    <row r="136" spans="1:19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</row>
    <row r="137" spans="1:19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</row>
    <row r="138" spans="1:19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</row>
    <row r="139" spans="1:19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</row>
    <row r="140" spans="1:19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</row>
    <row r="141" spans="1:19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</row>
    <row r="142" spans="1:19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</row>
    <row r="143" spans="1:19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</row>
    <row r="144" spans="1:19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</row>
    <row r="145" spans="1:19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</row>
    <row r="146" spans="1:19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</row>
    <row r="147" spans="1:19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</row>
    <row r="148" spans="1:19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</row>
    <row r="149" spans="1:19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</row>
    <row r="150" spans="1:19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</row>
    <row r="151" spans="1:19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</row>
    <row r="152" spans="1:19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</row>
    <row r="153" spans="1:19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</row>
    <row r="154" spans="1:19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</row>
    <row r="155" spans="1:19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</row>
    <row r="156" spans="1:19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</row>
    <row r="157" spans="1:19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</row>
    <row r="158" spans="1:19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</row>
    <row r="159" spans="1:19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</row>
    <row r="160" spans="1:19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</row>
    <row r="161" spans="1:19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</row>
    <row r="162" spans="1:19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</row>
    <row r="163" spans="1:19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</row>
    <row r="164" spans="1:19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</row>
    <row r="165" spans="1:19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</row>
    <row r="166" spans="1:19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</row>
    <row r="167" spans="1:19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</row>
    <row r="168" spans="1:19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</row>
    <row r="169" spans="1:19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</row>
    <row r="170" spans="1:19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</row>
    <row r="171" spans="1:19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</row>
    <row r="172" spans="1:19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</row>
    <row r="173" spans="1:19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</row>
    <row r="174" spans="1:19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</row>
    <row r="175" spans="1:19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</row>
    <row r="176" spans="1:19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</row>
    <row r="177" spans="1:19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</row>
    <row r="178" spans="1:19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</row>
    <row r="179" spans="1:19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</row>
    <row r="180" spans="1:19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</row>
    <row r="181" spans="1:19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</row>
    <row r="182" spans="1:19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</row>
    <row r="183" spans="1:19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</row>
    <row r="184" spans="1:19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</row>
    <row r="185" spans="1:19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</row>
    <row r="186" spans="1:19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</row>
    <row r="187" spans="1:19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</row>
    <row r="188" spans="1:19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</row>
    <row r="189" spans="1:19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</row>
    <row r="190" spans="1:19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</row>
    <row r="191" spans="1:19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</row>
    <row r="192" spans="1:19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</row>
    <row r="193" spans="1:19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</row>
    <row r="194" spans="1:19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</row>
    <row r="195" spans="1:19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</row>
    <row r="196" spans="1:19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</row>
    <row r="197" spans="1:19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</row>
    <row r="198" spans="1:19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</row>
    <row r="199" spans="1:19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</row>
    <row r="200" spans="1:19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</row>
    <row r="201" spans="1:19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</row>
    <row r="202" spans="1:19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</row>
    <row r="203" spans="1:19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</row>
    <row r="204" spans="1:19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</row>
    <row r="205" spans="1:19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</row>
    <row r="206" spans="1:19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</row>
    <row r="207" spans="1:19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</row>
    <row r="208" spans="1:19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</row>
    <row r="209" spans="1:19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</row>
    <row r="210" spans="1:19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</row>
    <row r="211" spans="1:19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</row>
    <row r="212" spans="1:19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</row>
    <row r="213" spans="1:19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</row>
    <row r="214" spans="1:19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</row>
    <row r="215" spans="1:19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</row>
    <row r="216" spans="1:19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</row>
    <row r="217" spans="1:19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</row>
    <row r="218" spans="1:19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</row>
    <row r="219" spans="1:19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</row>
    <row r="220" spans="1:19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</row>
    <row r="221" spans="1:19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</row>
    <row r="222" spans="1:19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</row>
    <row r="223" spans="1:19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</row>
    <row r="224" spans="1:19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</row>
    <row r="225" spans="1:19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</row>
    <row r="226" spans="1:19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</row>
    <row r="227" spans="1:19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</row>
    <row r="228" spans="1:19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</row>
    <row r="229" spans="1:19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</row>
    <row r="230" spans="1:19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</row>
    <row r="231" spans="1:19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</row>
    <row r="232" spans="1:19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</row>
    <row r="233" spans="1:19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</row>
    <row r="234" spans="1:19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</row>
    <row r="235" spans="1:19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</row>
    <row r="236" spans="1:19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</row>
    <row r="237" spans="1:19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</row>
    <row r="238" spans="1:19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</row>
    <row r="239" spans="1:19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</row>
    <row r="240" spans="1:19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</row>
    <row r="241" spans="1:19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</row>
    <row r="242" spans="1:19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</row>
    <row r="243" spans="1:19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</row>
    <row r="244" spans="1:19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</row>
    <row r="245" spans="1:19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</row>
    <row r="246" spans="1:19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</row>
    <row r="247" spans="1:19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</row>
    <row r="248" spans="1:19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</row>
    <row r="249" spans="1:19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</row>
    <row r="250" spans="1:19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</row>
    <row r="251" spans="1:19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</row>
    <row r="252" spans="1:19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</row>
    <row r="253" spans="1:19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</row>
    <row r="254" spans="1:19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</row>
    <row r="255" spans="1:19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</row>
    <row r="256" spans="1:19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</row>
    <row r="257" spans="1:19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</row>
    <row r="258" spans="1:19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</row>
    <row r="259" spans="1:19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</row>
    <row r="260" spans="1:19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</row>
    <row r="261" spans="1:19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</row>
    <row r="262" spans="1:19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</row>
    <row r="263" spans="1:19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</row>
    <row r="264" spans="1:19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</row>
    <row r="265" spans="1:19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</row>
    <row r="266" spans="1:19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</row>
    <row r="267" spans="1:19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</row>
    <row r="268" spans="1:19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</row>
    <row r="269" spans="1:19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</row>
    <row r="270" spans="1:19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</row>
    <row r="271" spans="1:19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</row>
    <row r="272" spans="1:19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</row>
    <row r="273" spans="1:19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</row>
    <row r="274" spans="1:19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</row>
    <row r="275" spans="1:19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</row>
    <row r="276" spans="1:19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</row>
    <row r="277" spans="1:19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</row>
    <row r="278" spans="1:19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</row>
    <row r="279" spans="1:19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</row>
    <row r="280" spans="1:19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</row>
    <row r="281" spans="1:19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</row>
    <row r="282" spans="1:19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</row>
    <row r="283" spans="1:19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</row>
    <row r="284" spans="1:19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</row>
    <row r="285" spans="1:19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</row>
    <row r="286" spans="1:19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</row>
    <row r="287" spans="1:19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</row>
    <row r="288" spans="1:19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</row>
    <row r="289" spans="1:19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</row>
    <row r="290" spans="1:19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</row>
    <row r="291" spans="1:19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</row>
    <row r="292" spans="1:19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</row>
    <row r="293" spans="1:19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</row>
    <row r="294" spans="1:19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</row>
    <row r="295" spans="1:19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</row>
    <row r="296" spans="1:19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</row>
    <row r="297" spans="1:19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</row>
    <row r="298" spans="1:19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</row>
    <row r="299" spans="1:19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</row>
    <row r="300" spans="1:19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</row>
    <row r="301" spans="1:19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</row>
    <row r="302" spans="1:19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</row>
    <row r="303" spans="1:19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</row>
    <row r="304" spans="1:19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</row>
    <row r="305" spans="1:19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</row>
    <row r="306" spans="1:19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</row>
    <row r="307" spans="1:19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</row>
    <row r="308" spans="1:19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</row>
    <row r="309" spans="1:19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</row>
    <row r="310" spans="1:19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</row>
    <row r="311" spans="1:19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</row>
    <row r="312" spans="1:19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</row>
    <row r="313" spans="1:19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</row>
    <row r="314" spans="1:19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</row>
    <row r="315" spans="1:19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</row>
    <row r="316" spans="1:19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</row>
    <row r="317" spans="1:19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</row>
    <row r="318" spans="1:19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</row>
    <row r="319" spans="1:19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</row>
    <row r="320" spans="1:19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</row>
    <row r="321" spans="1:19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</row>
    <row r="322" spans="1:19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</row>
    <row r="323" spans="1:19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</row>
    <row r="324" spans="1:19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</row>
    <row r="325" spans="1:19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</row>
    <row r="326" spans="1:19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</row>
    <row r="327" spans="1:19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</row>
    <row r="328" spans="1:19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</row>
    <row r="329" spans="1:19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</row>
    <row r="330" spans="1:19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</row>
    <row r="331" spans="1:19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</row>
    <row r="332" spans="1:19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</row>
    <row r="333" spans="1:19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</row>
    <row r="334" spans="1:19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</row>
    <row r="335" spans="1:19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</row>
    <row r="336" spans="1:19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</row>
    <row r="337" spans="1:19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</row>
    <row r="338" spans="1:19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</row>
    <row r="339" spans="1:19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</row>
    <row r="340" spans="1:19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</row>
    <row r="341" spans="1:19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</row>
    <row r="342" spans="1:19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</row>
    <row r="343" spans="1:19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</row>
    <row r="344" spans="1:19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</row>
    <row r="345" spans="1:19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</row>
    <row r="346" spans="1:19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</row>
    <row r="347" spans="1:19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</row>
    <row r="348" spans="1:19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</row>
    <row r="349" spans="1:19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</row>
    <row r="350" spans="1:19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</row>
    <row r="351" spans="1:19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</row>
    <row r="352" spans="1:19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</row>
    <row r="353" spans="1:19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</row>
    <row r="354" spans="1:19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</row>
    <row r="355" spans="1:19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</row>
    <row r="356" spans="1:19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</row>
    <row r="357" spans="1:19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</row>
    <row r="358" spans="1:19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</row>
    <row r="359" spans="1:19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</row>
    <row r="360" spans="1:19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</row>
    <row r="361" spans="1:19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</row>
    <row r="362" spans="1:19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</row>
    <row r="363" spans="1:19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</row>
    <row r="364" spans="1:19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</row>
    <row r="365" spans="1:19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</row>
    <row r="366" spans="1:19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</row>
    <row r="367" spans="1:19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</row>
    <row r="368" spans="1:19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</row>
    <row r="369" spans="1:19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</row>
    <row r="370" spans="1:19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</row>
    <row r="371" spans="1:19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</row>
    <row r="372" spans="1:19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</row>
    <row r="373" spans="1:19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</row>
    <row r="374" spans="1:19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</row>
    <row r="375" spans="1:19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</row>
    <row r="376" spans="1:19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</row>
    <row r="377" spans="1:19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</row>
    <row r="378" spans="1:19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</row>
    <row r="379" spans="1:19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</row>
    <row r="380" spans="1:19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</row>
    <row r="381" spans="1:19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</row>
    <row r="382" spans="1:19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</row>
    <row r="383" spans="1:19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</row>
    <row r="384" spans="1:19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</row>
    <row r="385" spans="1:19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</row>
    <row r="386" spans="1:19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</row>
    <row r="387" spans="1:19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</row>
    <row r="388" spans="1:19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</row>
    <row r="389" spans="1:19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</row>
    <row r="390" spans="1:19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</row>
    <row r="391" spans="1:19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</row>
    <row r="392" spans="1:19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</row>
    <row r="393" spans="1:19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</row>
    <row r="394" spans="1:19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</row>
    <row r="395" spans="1:19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</row>
    <row r="396" spans="1:19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</row>
    <row r="397" spans="1:19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</row>
    <row r="398" spans="1:19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</row>
    <row r="399" spans="1:19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</row>
    <row r="400" spans="1:19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</row>
    <row r="401" spans="1:19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</row>
    <row r="402" spans="1:19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</row>
    <row r="403" spans="1:19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</row>
    <row r="404" spans="1:19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</row>
    <row r="405" spans="1:19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</row>
    <row r="406" spans="1:19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</row>
    <row r="407" spans="1:19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</row>
    <row r="408" spans="1:19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</row>
    <row r="409" spans="1:19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</row>
    <row r="410" spans="1:19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</row>
    <row r="411" spans="1:19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</row>
    <row r="412" spans="1:19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</row>
    <row r="413" spans="1:19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</row>
    <row r="414" spans="1:19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</row>
    <row r="415" spans="1:19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</row>
    <row r="416" spans="1:19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</row>
    <row r="417" spans="1:19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</row>
    <row r="418" spans="1:19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</row>
    <row r="419" spans="1:19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</row>
    <row r="420" spans="1:19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</row>
    <row r="421" spans="1:19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</row>
    <row r="422" spans="1:19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</row>
    <row r="423" spans="1:19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</row>
    <row r="424" spans="1:19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</row>
    <row r="425" spans="1:19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</row>
    <row r="426" spans="1:19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</row>
    <row r="427" spans="1:19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</row>
    <row r="428" spans="1:19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</row>
    <row r="429" spans="1:19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</row>
    <row r="430" spans="1:19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</row>
    <row r="431" spans="1:19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</row>
    <row r="432" spans="1:19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</row>
    <row r="433" spans="1:19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</row>
    <row r="434" spans="1:19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</row>
    <row r="435" spans="1:19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</row>
    <row r="436" spans="1:19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</row>
    <row r="437" spans="1:19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</row>
    <row r="438" spans="1:19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</row>
    <row r="439" spans="1:19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</row>
    <row r="440" spans="1:19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</row>
    <row r="441" spans="1:19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</row>
    <row r="442" spans="1:19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</row>
    <row r="443" spans="1:19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</row>
    <row r="444" spans="1:19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</row>
    <row r="445" spans="1:19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</row>
    <row r="446" spans="1:19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</row>
    <row r="447" spans="1:19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</row>
    <row r="448" spans="1:19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</row>
    <row r="449" spans="1:19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</row>
    <row r="450" spans="1:19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</row>
    <row r="451" spans="1:19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</row>
    <row r="452" spans="1:19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</row>
    <row r="453" spans="1:19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</row>
    <row r="454" spans="1:19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</row>
    <row r="455" spans="1:19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</row>
    <row r="456" spans="1:19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</row>
    <row r="457" spans="1:19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</row>
    <row r="458" spans="1:19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</row>
    <row r="459" spans="1:19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</row>
    <row r="460" spans="1:19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</row>
    <row r="461" spans="1:19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</row>
    <row r="462" spans="1:19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</row>
    <row r="463" spans="1:19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</row>
    <row r="464" spans="1:19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</row>
    <row r="465" spans="1:19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</row>
    <row r="466" spans="1:19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</row>
    <row r="467" spans="1:19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</row>
    <row r="468" spans="1:19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</row>
    <row r="469" spans="1:19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</row>
    <row r="470" spans="1:19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</row>
    <row r="471" spans="1:19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</row>
    <row r="472" spans="1:19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</row>
    <row r="473" spans="1:19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</row>
    <row r="474" spans="1:19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</row>
    <row r="475" spans="1:19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</row>
    <row r="476" spans="1:19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</row>
    <row r="477" spans="1:19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</row>
    <row r="478" spans="1:19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</row>
    <row r="479" spans="1:19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</row>
    <row r="480" spans="1:19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</row>
    <row r="481" spans="1:19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</row>
    <row r="482" spans="1:19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</row>
    <row r="483" spans="1:19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</row>
    <row r="484" spans="1:19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</row>
    <row r="485" spans="1:19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</row>
    <row r="486" spans="1:19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</row>
    <row r="487" spans="1:19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</row>
    <row r="488" spans="1:19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</row>
    <row r="489" spans="1:19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</row>
    <row r="490" spans="1:19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</row>
    <row r="491" spans="1:19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</row>
    <row r="492" spans="1:19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</row>
    <row r="493" spans="1:19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</row>
    <row r="494" spans="1:19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</row>
    <row r="495" spans="1:19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</row>
    <row r="496" spans="1:19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</row>
    <row r="497" spans="1:19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</row>
    <row r="498" spans="1:19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</row>
    <row r="499" spans="1:19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</row>
    <row r="500" spans="1:19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</row>
    <row r="501" spans="1:19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</row>
    <row r="502" spans="1:19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</row>
    <row r="503" spans="1:19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</row>
    <row r="504" spans="1:19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</row>
    <row r="505" spans="1:19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</row>
    <row r="506" spans="1:19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</row>
    <row r="507" spans="1:19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</row>
    <row r="508" spans="1:19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</row>
    <row r="509" spans="1:19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</row>
    <row r="510" spans="1:19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</row>
    <row r="511" spans="1:19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</row>
    <row r="512" spans="1:19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</row>
    <row r="513" spans="1:19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</row>
    <row r="514" spans="1:19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</row>
    <row r="515" spans="1:19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</row>
    <row r="516" spans="1:19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</row>
    <row r="517" spans="1:19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</row>
    <row r="518" spans="1:19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</row>
    <row r="519" spans="1:19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</row>
    <row r="520" spans="1:19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</row>
    <row r="521" spans="1:19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</row>
    <row r="522" spans="1:19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</row>
    <row r="523" spans="1:19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</row>
    <row r="524" spans="1:19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</row>
    <row r="525" spans="1:19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</row>
    <row r="526" spans="1:19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</row>
    <row r="527" spans="1:19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</row>
    <row r="528" spans="1:19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</row>
    <row r="529" spans="1:19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</row>
    <row r="530" spans="1:19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</row>
    <row r="531" spans="1:19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</row>
    <row r="532" spans="1:19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</row>
    <row r="533" spans="1:19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</row>
    <row r="534" spans="1:19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</row>
    <row r="535" spans="1:19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</row>
    <row r="536" spans="1:19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</row>
    <row r="537" spans="1:19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</row>
    <row r="538" spans="1:19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</row>
    <row r="539" spans="1:19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</row>
    <row r="540" spans="1:19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</row>
    <row r="541" spans="1:19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</row>
    <row r="542" spans="1:19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</row>
    <row r="543" spans="1:19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</row>
    <row r="544" spans="1:19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</row>
    <row r="545" spans="1:19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</row>
    <row r="546" spans="1:19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</row>
    <row r="547" spans="1:19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</row>
    <row r="548" spans="1:19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</row>
    <row r="549" spans="1:19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</row>
    <row r="550" spans="1:19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</row>
    <row r="551" spans="1:19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</row>
    <row r="552" spans="1:19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</row>
    <row r="553" spans="1:19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</row>
    <row r="554" spans="1:19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</row>
    <row r="555" spans="1:19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</row>
    <row r="556" spans="1:19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</row>
    <row r="557" spans="1:19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</row>
    <row r="558" spans="1:19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</row>
    <row r="559" spans="1:19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</row>
    <row r="560" spans="1:19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</row>
    <row r="561" spans="1:19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</row>
    <row r="562" spans="1:19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</row>
    <row r="563" spans="1:19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</row>
    <row r="564" spans="1:19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</row>
    <row r="565" spans="1:19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</row>
    <row r="566" spans="1:19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</row>
    <row r="567" spans="1:19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</row>
    <row r="568" spans="1:19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</row>
    <row r="569" spans="1:19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</row>
    <row r="570" spans="1:19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</row>
    <row r="571" spans="1:19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</row>
    <row r="572" spans="1:19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</row>
    <row r="573" spans="1:19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</row>
    <row r="574" spans="1:19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</row>
    <row r="575" spans="1:19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</row>
    <row r="576" spans="1:19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</row>
    <row r="577" spans="1:19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</row>
    <row r="578" spans="1:19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</row>
    <row r="579" spans="1:19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</row>
    <row r="580" spans="1:19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</row>
    <row r="581" spans="1:19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</row>
    <row r="582" spans="1:19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</row>
    <row r="583" spans="1:19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</row>
    <row r="584" spans="1:19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</row>
    <row r="585" spans="1:19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</row>
    <row r="586" spans="1:19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</row>
    <row r="587" spans="1:19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</row>
    <row r="588" spans="1:19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</row>
    <row r="589" spans="1:19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</row>
    <row r="590" spans="1:19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</row>
    <row r="591" spans="1:19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</row>
    <row r="592" spans="1:19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</row>
    <row r="593" spans="1:19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</row>
    <row r="594" spans="1:19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</row>
    <row r="595" spans="1:19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</row>
    <row r="596" spans="1:19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</row>
    <row r="597" spans="1:19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</row>
    <row r="598" spans="1:19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</row>
    <row r="599" spans="1:19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</row>
    <row r="600" spans="1:19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</row>
    <row r="601" spans="1:19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</row>
    <row r="602" spans="1:19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</row>
    <row r="603" spans="1:19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</row>
    <row r="604" spans="1:19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</row>
    <row r="605" spans="1:19">
      <c r="A605" s="23"/>
      <c r="B605" s="23"/>
      <c r="C605" s="23"/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</row>
    <row r="606" spans="1:19">
      <c r="A606" s="23"/>
      <c r="B606" s="23"/>
      <c r="C606" s="23"/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</row>
    <row r="607" spans="1:19">
      <c r="A607" s="23"/>
      <c r="B607" s="23"/>
      <c r="C607" s="23"/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</row>
    <row r="608" spans="1:19">
      <c r="A608" s="23"/>
      <c r="B608" s="23"/>
      <c r="C608" s="23"/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</row>
    <row r="609" spans="1:19">
      <c r="A609" s="23"/>
      <c r="B609" s="23"/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</row>
    <row r="610" spans="1:19">
      <c r="A610" s="23"/>
      <c r="B610" s="23"/>
      <c r="C610" s="23"/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</row>
    <row r="611" spans="1:19">
      <c r="A611" s="23"/>
      <c r="B611" s="23"/>
      <c r="C611" s="23"/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</row>
    <row r="612" spans="1:19">
      <c r="A612" s="23"/>
      <c r="B612" s="23"/>
      <c r="C612" s="23"/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</row>
    <row r="613" spans="1:19">
      <c r="A613" s="23"/>
      <c r="B613" s="23"/>
      <c r="C613" s="23"/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</row>
    <row r="614" spans="1:19">
      <c r="A614" s="23"/>
      <c r="B614" s="23"/>
      <c r="C614" s="23"/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</row>
    <row r="615" spans="1:19">
      <c r="A615" s="23"/>
      <c r="B615" s="23"/>
      <c r="C615" s="23"/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</row>
    <row r="616" spans="1:19">
      <c r="A616" s="23"/>
      <c r="B616" s="23"/>
      <c r="C616" s="23"/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</row>
    <row r="617" spans="1:19">
      <c r="A617" s="23"/>
      <c r="B617" s="23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</row>
    <row r="618" spans="1:19">
      <c r="A618" s="23"/>
      <c r="B618" s="23"/>
      <c r="C618" s="23"/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</row>
    <row r="619" spans="1:19">
      <c r="A619" s="23"/>
      <c r="B619" s="23"/>
      <c r="C619" s="23"/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</row>
    <row r="620" spans="1:19">
      <c r="A620" s="23"/>
      <c r="B620" s="23"/>
      <c r="C620" s="23"/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</row>
    <row r="621" spans="1:19">
      <c r="A621" s="23"/>
      <c r="B621" s="23"/>
      <c r="C621" s="23"/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</row>
    <row r="622" spans="1:19">
      <c r="A622" s="23"/>
      <c r="B622" s="23"/>
      <c r="C622" s="23"/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</row>
    <row r="623" spans="1:19">
      <c r="A623" s="23"/>
      <c r="B623" s="23"/>
      <c r="C623" s="23"/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</row>
    <row r="624" spans="1:19">
      <c r="A624" s="23"/>
      <c r="B624" s="23"/>
      <c r="C624" s="23"/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</row>
    <row r="625" spans="1:19">
      <c r="A625" s="23"/>
      <c r="B625" s="23"/>
      <c r="C625" s="23"/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</row>
    <row r="626" spans="1:19">
      <c r="A626" s="23"/>
      <c r="B626" s="23"/>
      <c r="C626" s="23"/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</row>
    <row r="627" spans="1:19">
      <c r="A627" s="23"/>
      <c r="B627" s="23"/>
      <c r="C627" s="23"/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</row>
    <row r="628" spans="1:19">
      <c r="A628" s="23"/>
      <c r="B628" s="23"/>
      <c r="C628" s="23"/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</row>
    <row r="629" spans="1:19">
      <c r="A629" s="23"/>
      <c r="B629" s="23"/>
      <c r="C629" s="23"/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</row>
    <row r="630" spans="1:19">
      <c r="A630" s="23"/>
      <c r="B630" s="23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</row>
    <row r="631" spans="1:19">
      <c r="A631" s="23"/>
      <c r="B631" s="23"/>
      <c r="C631" s="23"/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</row>
    <row r="632" spans="1:19">
      <c r="A632" s="23"/>
      <c r="B632" s="23"/>
      <c r="C632" s="23"/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</row>
    <row r="633" spans="1:19">
      <c r="A633" s="23"/>
      <c r="B633" s="23"/>
      <c r="C633" s="23"/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</row>
    <row r="634" spans="1:19">
      <c r="A634" s="23"/>
      <c r="B634" s="23"/>
      <c r="C634" s="23"/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</row>
    <row r="635" spans="1:19">
      <c r="A635" s="23"/>
      <c r="B635" s="23"/>
      <c r="C635" s="23"/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</row>
    <row r="636" spans="1:19">
      <c r="A636" s="23"/>
      <c r="B636" s="23"/>
      <c r="C636" s="23"/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</row>
    <row r="637" spans="1:19">
      <c r="A637" s="23"/>
      <c r="B637" s="23"/>
      <c r="C637" s="23"/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</row>
    <row r="638" spans="1:19">
      <c r="A638" s="23"/>
      <c r="B638" s="23"/>
      <c r="C638" s="23"/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</row>
    <row r="639" spans="1:19">
      <c r="A639" s="23"/>
      <c r="B639" s="23"/>
      <c r="C639" s="23"/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</row>
    <row r="640" spans="1:19">
      <c r="A640" s="23"/>
      <c r="B640" s="23"/>
      <c r="C640" s="23"/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</row>
    <row r="641" spans="1:19">
      <c r="A641" s="23"/>
      <c r="B641" s="23"/>
      <c r="C641" s="23"/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</row>
    <row r="642" spans="1:19">
      <c r="A642" s="23"/>
      <c r="B642" s="23"/>
      <c r="C642" s="23"/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</row>
    <row r="643" spans="1:19">
      <c r="A643" s="23"/>
      <c r="B643" s="23"/>
      <c r="C643" s="23"/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</row>
    <row r="644" spans="1:19">
      <c r="A644" s="23"/>
      <c r="B644" s="23"/>
      <c r="C644" s="23"/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</row>
    <row r="645" spans="1:19">
      <c r="A645" s="23"/>
      <c r="B645" s="23"/>
      <c r="C645" s="23"/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</row>
    <row r="646" spans="1:19">
      <c r="A646" s="23"/>
      <c r="B646" s="23"/>
      <c r="C646" s="23"/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</row>
    <row r="647" spans="1:19">
      <c r="A647" s="23"/>
      <c r="B647" s="23"/>
      <c r="C647" s="23"/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</row>
    <row r="648" spans="1:19">
      <c r="A648" s="23"/>
      <c r="B648" s="23"/>
      <c r="C648" s="23"/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</row>
    <row r="649" spans="1:19">
      <c r="A649" s="23"/>
      <c r="B649" s="23"/>
      <c r="C649" s="23"/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</row>
    <row r="650" spans="1:19">
      <c r="A650" s="23"/>
      <c r="B650" s="23"/>
      <c r="C650" s="23"/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</row>
    <row r="651" spans="1:19">
      <c r="A651" s="23"/>
      <c r="B651" s="23"/>
      <c r="C651" s="23"/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</row>
    <row r="652" spans="1:19">
      <c r="A652" s="23"/>
      <c r="B652" s="23"/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</row>
    <row r="653" spans="1:19">
      <c r="A653" s="23"/>
      <c r="B653" s="23"/>
      <c r="C653" s="23"/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</row>
    <row r="654" spans="1:19">
      <c r="A654" s="23"/>
      <c r="B654" s="23"/>
      <c r="C654" s="23"/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</row>
    <row r="655" spans="1:19">
      <c r="A655" s="23"/>
      <c r="B655" s="23"/>
      <c r="C655" s="23"/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</row>
    <row r="656" spans="1:19">
      <c r="A656" s="23"/>
      <c r="B656" s="23"/>
      <c r="C656" s="23"/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</row>
    <row r="657" spans="1:19">
      <c r="A657" s="23"/>
      <c r="B657" s="23"/>
      <c r="C657" s="23"/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</row>
    <row r="658" spans="1:19">
      <c r="A658" s="23"/>
      <c r="B658" s="23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</row>
    <row r="659" spans="1:19">
      <c r="A659" s="23"/>
      <c r="B659" s="23"/>
      <c r="C659" s="23"/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</row>
    <row r="660" spans="1:19">
      <c r="A660" s="23"/>
      <c r="B660" s="23"/>
      <c r="C660" s="23"/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</row>
    <row r="661" spans="1:19">
      <c r="A661" s="23"/>
      <c r="B661" s="23"/>
      <c r="C661" s="23"/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</row>
    <row r="662" spans="1:19">
      <c r="A662" s="23"/>
      <c r="B662" s="23"/>
      <c r="C662" s="23"/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</row>
    <row r="663" spans="1:19">
      <c r="A663" s="23"/>
      <c r="B663" s="23"/>
      <c r="C663" s="23"/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</row>
    <row r="664" spans="1:19">
      <c r="A664" s="23"/>
      <c r="B664" s="23"/>
      <c r="C664" s="23"/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</row>
    <row r="665" spans="1:19">
      <c r="A665" s="23"/>
      <c r="B665" s="23"/>
      <c r="C665" s="23"/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</row>
    <row r="666" spans="1:19">
      <c r="A666" s="23"/>
      <c r="B666" s="23"/>
      <c r="C666" s="23"/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</row>
    <row r="667" spans="1:19">
      <c r="A667" s="23"/>
      <c r="B667" s="23"/>
      <c r="C667" s="23"/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</row>
    <row r="668" spans="1:19">
      <c r="A668" s="23"/>
      <c r="B668" s="23"/>
      <c r="C668" s="23"/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</row>
    <row r="669" spans="1:19">
      <c r="A669" s="23"/>
      <c r="B669" s="23"/>
      <c r="C669" s="23"/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</row>
    <row r="670" spans="1:19">
      <c r="A670" s="23"/>
      <c r="B670" s="23"/>
      <c r="C670" s="23"/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</row>
    <row r="671" spans="1:19">
      <c r="A671" s="23"/>
      <c r="B671" s="23"/>
      <c r="C671" s="23"/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</row>
    <row r="672" spans="1:19">
      <c r="A672" s="23"/>
      <c r="B672" s="23"/>
      <c r="C672" s="23"/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</row>
    <row r="673" spans="1:19">
      <c r="A673" s="23"/>
      <c r="B673" s="23"/>
      <c r="C673" s="23"/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</row>
    <row r="674" spans="1:19">
      <c r="A674" s="23"/>
      <c r="B674" s="23"/>
      <c r="C674" s="23"/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</row>
    <row r="675" spans="1:19">
      <c r="A675" s="23"/>
      <c r="B675" s="23"/>
      <c r="C675" s="23"/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</row>
    <row r="676" spans="1:19">
      <c r="A676" s="23"/>
      <c r="B676" s="23"/>
      <c r="C676" s="23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</row>
    <row r="677" spans="1:19">
      <c r="A677" s="23"/>
      <c r="B677" s="23"/>
      <c r="C677" s="23"/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</row>
    <row r="678" spans="1:19">
      <c r="A678" s="23"/>
      <c r="B678" s="23"/>
      <c r="C678" s="23"/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</row>
    <row r="679" spans="1:19">
      <c r="A679" s="23"/>
      <c r="B679" s="23"/>
      <c r="C679" s="23"/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</row>
    <row r="680" spans="1:19">
      <c r="A680" s="23"/>
      <c r="B680" s="23"/>
      <c r="C680" s="23"/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</row>
    <row r="681" spans="1:19">
      <c r="A681" s="23"/>
      <c r="B681" s="23"/>
      <c r="C681" s="23"/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</row>
    <row r="682" spans="1:19">
      <c r="A682" s="23"/>
      <c r="B682" s="23"/>
      <c r="C682" s="23"/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</row>
    <row r="683" spans="1:19">
      <c r="A683" s="23"/>
      <c r="B683" s="23"/>
      <c r="C683" s="23"/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</row>
    <row r="684" spans="1:19">
      <c r="A684" s="23"/>
      <c r="B684" s="23"/>
      <c r="C684" s="23"/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</row>
    <row r="685" spans="1:19">
      <c r="A685" s="23"/>
      <c r="B685" s="23"/>
      <c r="C685" s="23"/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</row>
    <row r="686" spans="1:19">
      <c r="A686" s="23"/>
      <c r="B686" s="23"/>
      <c r="C686" s="23"/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</row>
    <row r="687" spans="1:19">
      <c r="A687" s="23"/>
      <c r="B687" s="23"/>
      <c r="C687" s="23"/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</row>
    <row r="688" spans="1:19">
      <c r="A688" s="23"/>
      <c r="B688" s="23"/>
      <c r="C688" s="23"/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</row>
    <row r="689" spans="1:19">
      <c r="A689" s="23"/>
      <c r="B689" s="23"/>
      <c r="C689" s="23"/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</row>
    <row r="690" spans="1:19">
      <c r="A690" s="23"/>
      <c r="B690" s="23"/>
      <c r="C690" s="23"/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</row>
    <row r="691" spans="1:19">
      <c r="A691" s="23"/>
      <c r="B691" s="23"/>
      <c r="C691" s="23"/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</row>
    <row r="692" spans="1:19">
      <c r="A692" s="23"/>
      <c r="B692" s="23"/>
      <c r="C692" s="23"/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</row>
    <row r="693" spans="1:19">
      <c r="A693" s="23"/>
      <c r="B693" s="23"/>
      <c r="C693" s="23"/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</row>
    <row r="694" spans="1:19">
      <c r="A694" s="23"/>
      <c r="B694" s="23"/>
      <c r="C694" s="23"/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</row>
    <row r="695" spans="1:19">
      <c r="A695" s="23"/>
      <c r="B695" s="23"/>
      <c r="C695" s="23"/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</row>
    <row r="696" spans="1:19">
      <c r="A696" s="23"/>
      <c r="B696" s="23"/>
      <c r="C696" s="23"/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</row>
    <row r="697" spans="1:19">
      <c r="A697" s="23"/>
      <c r="B697" s="23"/>
      <c r="C697" s="23"/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</row>
    <row r="698" spans="1:19">
      <c r="A698" s="23"/>
      <c r="B698" s="23"/>
      <c r="C698" s="23"/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</row>
    <row r="699" spans="1:19">
      <c r="A699" s="23"/>
      <c r="B699" s="23"/>
      <c r="C699" s="23"/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</row>
    <row r="700" spans="1:19">
      <c r="A700" s="23"/>
      <c r="B700" s="23"/>
      <c r="C700" s="23"/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</row>
    <row r="701" spans="1:19">
      <c r="A701" s="23"/>
      <c r="B701" s="23"/>
      <c r="C701" s="23"/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</row>
    <row r="702" spans="1:19">
      <c r="A702" s="23"/>
      <c r="B702" s="23"/>
      <c r="C702" s="23"/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</row>
    <row r="703" spans="1:19">
      <c r="A703" s="23"/>
      <c r="B703" s="23"/>
      <c r="C703" s="23"/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</row>
    <row r="704" spans="1:19">
      <c r="A704" s="23"/>
      <c r="B704" s="23"/>
      <c r="C704" s="23"/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</row>
    <row r="705" spans="1:19">
      <c r="A705" s="23"/>
      <c r="B705" s="23"/>
      <c r="C705" s="23"/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</row>
    <row r="706" spans="1:19">
      <c r="A706" s="23"/>
      <c r="B706" s="23"/>
      <c r="C706" s="23"/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</row>
    <row r="707" spans="1:19">
      <c r="A707" s="23"/>
      <c r="B707" s="23"/>
      <c r="C707" s="23"/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</row>
    <row r="708" spans="1:19">
      <c r="A708" s="23"/>
      <c r="B708" s="23"/>
      <c r="C708" s="23"/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</row>
    <row r="709" spans="1:19">
      <c r="A709" s="23"/>
      <c r="B709" s="23"/>
      <c r="C709" s="23"/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</row>
    <row r="710" spans="1:19">
      <c r="A710" s="23"/>
      <c r="B710" s="23"/>
      <c r="C710" s="23"/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</row>
    <row r="711" spans="1:19">
      <c r="A711" s="23"/>
      <c r="B711" s="23"/>
      <c r="C711" s="23"/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</row>
    <row r="712" spans="1:19">
      <c r="A712" s="23"/>
      <c r="B712" s="23"/>
      <c r="C712" s="23"/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</row>
    <row r="713" spans="1:19">
      <c r="A713" s="23"/>
      <c r="B713" s="23"/>
      <c r="C713" s="23"/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</row>
    <row r="714" spans="1:19">
      <c r="A714" s="23"/>
      <c r="B714" s="23"/>
      <c r="C714" s="23"/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</row>
    <row r="715" spans="1:19">
      <c r="A715" s="23"/>
      <c r="B715" s="23"/>
      <c r="C715" s="23"/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</row>
    <row r="716" spans="1:19">
      <c r="A716" s="23"/>
      <c r="B716" s="23"/>
      <c r="C716" s="23"/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</row>
    <row r="717" spans="1:19">
      <c r="A717" s="23"/>
      <c r="B717" s="23"/>
      <c r="C717" s="23"/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</row>
    <row r="718" spans="1:19">
      <c r="A718" s="23"/>
      <c r="B718" s="23"/>
      <c r="C718" s="23"/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</row>
    <row r="719" spans="1:19">
      <c r="A719" s="23"/>
      <c r="B719" s="23"/>
      <c r="C719" s="23"/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</row>
    <row r="720" spans="1:19">
      <c r="A720" s="23"/>
      <c r="B720" s="23"/>
      <c r="C720" s="23"/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</row>
    <row r="721" spans="1:19">
      <c r="A721" s="23"/>
      <c r="B721" s="23"/>
      <c r="C721" s="23"/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</row>
    <row r="722" spans="1:19">
      <c r="A722" s="23"/>
      <c r="B722" s="23"/>
      <c r="C722" s="23"/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</row>
    <row r="723" spans="1:19">
      <c r="A723" s="23"/>
      <c r="B723" s="23"/>
      <c r="C723" s="23"/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</row>
    <row r="724" spans="1:19">
      <c r="A724" s="23"/>
      <c r="B724" s="23"/>
      <c r="C724" s="23"/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</row>
    <row r="725" spans="1:19">
      <c r="A725" s="23"/>
      <c r="B725" s="23"/>
      <c r="C725" s="23"/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</row>
    <row r="726" spans="1:19">
      <c r="A726" s="23"/>
      <c r="B726" s="23"/>
      <c r="C726" s="23"/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</row>
    <row r="727" spans="1:19">
      <c r="A727" s="23"/>
      <c r="B727" s="23"/>
      <c r="C727" s="23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</row>
    <row r="728" spans="1:19">
      <c r="A728" s="23"/>
      <c r="B728" s="23"/>
      <c r="C728" s="23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</row>
    <row r="729" spans="1:19">
      <c r="A729" s="23"/>
      <c r="B729" s="23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</row>
    <row r="730" spans="1:19">
      <c r="A730" s="23"/>
      <c r="B730" s="23"/>
      <c r="C730" s="23"/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</row>
    <row r="731" spans="1:19">
      <c r="A731" s="23"/>
      <c r="B731" s="23"/>
      <c r="C731" s="23"/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</row>
    <row r="732" spans="1:19">
      <c r="A732" s="23"/>
      <c r="B732" s="23"/>
      <c r="C732" s="23"/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</row>
    <row r="733" spans="1:19">
      <c r="A733" s="23"/>
      <c r="B733" s="23"/>
      <c r="C733" s="23"/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</row>
    <row r="734" spans="1:19">
      <c r="A734" s="23"/>
      <c r="B734" s="23"/>
      <c r="C734" s="23"/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</row>
    <row r="735" spans="1:19">
      <c r="A735" s="23"/>
      <c r="B735" s="23"/>
      <c r="C735" s="23"/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</row>
    <row r="736" spans="1:19">
      <c r="A736" s="23"/>
      <c r="B736" s="23"/>
      <c r="C736" s="23"/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</row>
    <row r="737" spans="1:19">
      <c r="A737" s="23"/>
      <c r="B737" s="23"/>
      <c r="C737" s="23"/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</row>
    <row r="738" spans="1:19">
      <c r="A738" s="23"/>
      <c r="B738" s="23"/>
      <c r="C738" s="23"/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</row>
    <row r="739" spans="1:19">
      <c r="A739" s="23"/>
      <c r="B739" s="23"/>
      <c r="C739" s="23"/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</row>
    <row r="740" spans="1:19">
      <c r="A740" s="23"/>
      <c r="B740" s="23"/>
      <c r="C740" s="23"/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</row>
    <row r="741" spans="1:19">
      <c r="A741" s="23"/>
      <c r="B741" s="23"/>
      <c r="C741" s="23"/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</row>
    <row r="742" spans="1:19">
      <c r="A742" s="23"/>
      <c r="B742" s="23"/>
      <c r="C742" s="23"/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</row>
    <row r="743" spans="1:19">
      <c r="A743" s="23"/>
      <c r="B743" s="23"/>
      <c r="C743" s="23"/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</row>
    <row r="744" spans="1:19">
      <c r="A744" s="23"/>
      <c r="B744" s="23"/>
      <c r="C744" s="23"/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</row>
    <row r="745" spans="1:19">
      <c r="A745" s="23"/>
      <c r="B745" s="23"/>
      <c r="C745" s="23"/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</row>
    <row r="746" spans="1:19">
      <c r="A746" s="23"/>
      <c r="B746" s="23"/>
      <c r="C746" s="23"/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</row>
    <row r="747" spans="1:19">
      <c r="A747" s="23"/>
      <c r="B747" s="23"/>
      <c r="C747" s="23"/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</row>
    <row r="748" spans="1:19">
      <c r="A748" s="23"/>
      <c r="B748" s="23"/>
      <c r="C748" s="23"/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</row>
    <row r="749" spans="1:19">
      <c r="A749" s="23"/>
      <c r="B749" s="23"/>
      <c r="C749" s="23"/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</row>
    <row r="750" spans="1:19">
      <c r="A750" s="23"/>
      <c r="B750" s="23"/>
      <c r="C750" s="23"/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</row>
    <row r="751" spans="1:19">
      <c r="A751" s="23"/>
      <c r="B751" s="23"/>
      <c r="C751" s="23"/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</row>
    <row r="752" spans="1:19">
      <c r="A752" s="23"/>
      <c r="B752" s="23"/>
      <c r="C752" s="23"/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</row>
    <row r="753" spans="1:19">
      <c r="A753" s="23"/>
      <c r="B753" s="23"/>
      <c r="C753" s="23"/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</row>
    <row r="754" spans="1:19">
      <c r="A754" s="23"/>
      <c r="B754" s="23"/>
      <c r="C754" s="23"/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</row>
    <row r="755" spans="1:19">
      <c r="A755" s="23"/>
      <c r="B755" s="23"/>
      <c r="C755" s="23"/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</row>
    <row r="756" spans="1:19">
      <c r="A756" s="23"/>
      <c r="B756" s="23"/>
      <c r="C756" s="23"/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</row>
    <row r="757" spans="1:19">
      <c r="A757" s="23"/>
      <c r="B757" s="23"/>
      <c r="C757" s="23"/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</row>
    <row r="758" spans="1:19">
      <c r="A758" s="23"/>
      <c r="B758" s="23"/>
      <c r="C758" s="23"/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</row>
    <row r="759" spans="1:19">
      <c r="A759" s="23"/>
      <c r="B759" s="23"/>
      <c r="C759" s="23"/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</row>
    <row r="760" spans="1:19">
      <c r="A760" s="23"/>
      <c r="B760" s="23"/>
      <c r="C760" s="23"/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</row>
    <row r="761" spans="1:19">
      <c r="A761" s="23"/>
      <c r="B761" s="23"/>
      <c r="C761" s="23"/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</row>
    <row r="762" spans="1:19">
      <c r="A762" s="23"/>
      <c r="B762" s="23"/>
      <c r="C762" s="23"/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</row>
    <row r="763" spans="1:19">
      <c r="A763" s="23"/>
      <c r="B763" s="23"/>
      <c r="C763" s="23"/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</row>
    <row r="764" spans="1:19">
      <c r="A764" s="23"/>
      <c r="B764" s="23"/>
      <c r="C764" s="23"/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</row>
    <row r="765" spans="1:19">
      <c r="A765" s="23"/>
      <c r="B765" s="23"/>
      <c r="C765" s="23"/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</row>
    <row r="766" spans="1:19">
      <c r="A766" s="23"/>
      <c r="B766" s="23"/>
      <c r="C766" s="23"/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</row>
    <row r="767" spans="1:19">
      <c r="A767" s="23"/>
      <c r="B767" s="23"/>
      <c r="C767" s="23"/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</row>
    <row r="768" spans="1:19">
      <c r="A768" s="23"/>
      <c r="B768" s="23"/>
      <c r="C768" s="23"/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</row>
    <row r="769" spans="1:19">
      <c r="A769" s="23"/>
      <c r="B769" s="23"/>
      <c r="C769" s="23"/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</row>
    <row r="770" spans="1:19">
      <c r="A770" s="23"/>
      <c r="B770" s="23"/>
      <c r="C770" s="23"/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</row>
    <row r="771" spans="1:19">
      <c r="A771" s="23"/>
      <c r="B771" s="23"/>
      <c r="C771" s="23"/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</row>
    <row r="772" spans="1:19">
      <c r="A772" s="23"/>
      <c r="B772" s="23"/>
      <c r="C772" s="23"/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</row>
    <row r="773" spans="1:19">
      <c r="A773" s="23"/>
      <c r="B773" s="23"/>
      <c r="C773" s="23"/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</row>
    <row r="774" spans="1:19">
      <c r="A774" s="23"/>
      <c r="B774" s="23"/>
      <c r="C774" s="23"/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</row>
    <row r="775" spans="1:19">
      <c r="A775" s="23"/>
      <c r="B775" s="23"/>
      <c r="C775" s="23"/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</row>
    <row r="776" spans="1:19">
      <c r="A776" s="23"/>
      <c r="B776" s="23"/>
      <c r="C776" s="23"/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</row>
    <row r="777" spans="1:19">
      <c r="A777" s="23"/>
      <c r="B777" s="23"/>
      <c r="C777" s="23"/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</row>
    <row r="778" spans="1:19">
      <c r="A778" s="23"/>
      <c r="B778" s="23"/>
      <c r="C778" s="23"/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</row>
    <row r="779" spans="1:19">
      <c r="A779" s="23"/>
      <c r="B779" s="23"/>
      <c r="C779" s="23"/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</row>
    <row r="780" spans="1:19">
      <c r="A780" s="23"/>
      <c r="B780" s="23"/>
      <c r="C780" s="23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</row>
    <row r="781" spans="1:19">
      <c r="A781" s="23"/>
      <c r="B781" s="23"/>
      <c r="C781" s="23"/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</row>
    <row r="782" spans="1:19">
      <c r="A782" s="23"/>
      <c r="B782" s="23"/>
      <c r="C782" s="23"/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</row>
    <row r="783" spans="1:19">
      <c r="A783" s="23"/>
      <c r="B783" s="23"/>
      <c r="C783" s="23"/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</row>
    <row r="784" spans="1:19">
      <c r="A784" s="23"/>
      <c r="B784" s="23"/>
      <c r="C784" s="23"/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</row>
    <row r="785" spans="1:19">
      <c r="A785" s="23"/>
      <c r="B785" s="23"/>
      <c r="C785" s="23"/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</row>
    <row r="786" spans="1:19">
      <c r="A786" s="23"/>
      <c r="B786" s="23"/>
      <c r="C786" s="23"/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</row>
    <row r="787" spans="1:19">
      <c r="A787" s="23"/>
      <c r="B787" s="23"/>
      <c r="C787" s="23"/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</row>
    <row r="788" spans="1:19">
      <c r="A788" s="23"/>
      <c r="B788" s="23"/>
      <c r="C788" s="23"/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</row>
    <row r="789" spans="1:19">
      <c r="A789" s="23"/>
      <c r="B789" s="23"/>
      <c r="C789" s="23"/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</row>
    <row r="790" spans="1:19">
      <c r="A790" s="23"/>
      <c r="B790" s="23"/>
      <c r="C790" s="23"/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</row>
    <row r="791" spans="1:19">
      <c r="A791" s="23"/>
      <c r="B791" s="23"/>
      <c r="C791" s="23"/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</row>
    <row r="792" spans="1:19">
      <c r="A792" s="23"/>
      <c r="B792" s="23"/>
      <c r="C792" s="23"/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</row>
    <row r="793" spans="1:19">
      <c r="A793" s="23"/>
      <c r="B793" s="23"/>
      <c r="C793" s="23"/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</row>
    <row r="794" spans="1:19">
      <c r="A794" s="23"/>
      <c r="B794" s="23"/>
      <c r="C794" s="23"/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</row>
    <row r="795" spans="1:19">
      <c r="A795" s="23"/>
      <c r="B795" s="23"/>
      <c r="C795" s="23"/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</row>
    <row r="796" spans="1:19">
      <c r="A796" s="23"/>
      <c r="B796" s="23"/>
      <c r="C796" s="23"/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</row>
    <row r="797" spans="1:19">
      <c r="A797" s="23"/>
      <c r="B797" s="23"/>
      <c r="C797" s="23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</row>
    <row r="798" spans="1:19">
      <c r="A798" s="23"/>
      <c r="B798" s="23"/>
      <c r="C798" s="23"/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</row>
    <row r="799" spans="1:19">
      <c r="A799" s="23"/>
      <c r="B799" s="23"/>
      <c r="C799" s="23"/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</row>
    <row r="800" spans="1:19">
      <c r="A800" s="23"/>
      <c r="B800" s="23"/>
      <c r="C800" s="23"/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</row>
    <row r="801" spans="1:19">
      <c r="A801" s="23"/>
      <c r="B801" s="23"/>
      <c r="C801" s="23"/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</row>
    <row r="802" spans="1:19">
      <c r="A802" s="23"/>
      <c r="B802" s="23"/>
      <c r="C802" s="23"/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</row>
    <row r="803" spans="1:19">
      <c r="A803" s="23"/>
      <c r="B803" s="23"/>
      <c r="C803" s="23"/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</row>
    <row r="804" spans="1:19">
      <c r="A804" s="23"/>
      <c r="B804" s="23"/>
      <c r="C804" s="23"/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</row>
    <row r="805" spans="1:19">
      <c r="A805" s="23"/>
      <c r="B805" s="23"/>
      <c r="C805" s="23"/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</row>
    <row r="806" spans="1:19">
      <c r="A806" s="23"/>
      <c r="B806" s="23"/>
      <c r="C806" s="23"/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</row>
    <row r="807" spans="1:19">
      <c r="A807" s="23"/>
      <c r="B807" s="23"/>
      <c r="C807" s="23"/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</row>
    <row r="808" spans="1:19">
      <c r="A808" s="23"/>
      <c r="B808" s="23"/>
      <c r="C808" s="23"/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</row>
    <row r="809" spans="1:19">
      <c r="A809" s="23"/>
      <c r="B809" s="23"/>
      <c r="C809" s="23"/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</row>
    <row r="810" spans="1:19">
      <c r="A810" s="23"/>
      <c r="B810" s="23"/>
      <c r="C810" s="23"/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</row>
    <row r="811" spans="1:19">
      <c r="A811" s="23"/>
      <c r="B811" s="23"/>
      <c r="C811" s="23"/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</row>
    <row r="812" spans="1:19">
      <c r="A812" s="23"/>
      <c r="B812" s="23"/>
      <c r="C812" s="23"/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</row>
    <row r="813" spans="1:19">
      <c r="A813" s="23"/>
      <c r="B813" s="23"/>
      <c r="C813" s="23"/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</row>
    <row r="814" spans="1:19">
      <c r="A814" s="23"/>
      <c r="B814" s="23"/>
      <c r="C814" s="23"/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</row>
    <row r="815" spans="1:19">
      <c r="A815" s="23"/>
      <c r="B815" s="23"/>
      <c r="C815" s="23"/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</row>
    <row r="816" spans="1:19">
      <c r="A816" s="23"/>
      <c r="B816" s="23"/>
      <c r="C816" s="23"/>
      <c r="D816" s="23"/>
      <c r="E816" s="23"/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</row>
    <row r="817" spans="1:19">
      <c r="A817" s="23"/>
      <c r="B817" s="23"/>
      <c r="C817" s="23"/>
      <c r="D817" s="23"/>
      <c r="E817" s="23"/>
      <c r="F817" s="23"/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</row>
    <row r="818" spans="1:19">
      <c r="A818" s="23"/>
      <c r="B818" s="23"/>
      <c r="C818" s="23"/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</row>
    <row r="819" spans="1:19">
      <c r="A819" s="23"/>
      <c r="B819" s="23"/>
      <c r="C819" s="23"/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</row>
    <row r="820" spans="1:19">
      <c r="A820" s="23"/>
      <c r="B820" s="23"/>
      <c r="C820" s="23"/>
      <c r="D820" s="23"/>
      <c r="E820" s="23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</row>
    <row r="821" spans="1:19">
      <c r="A821" s="23"/>
      <c r="B821" s="23"/>
      <c r="C821" s="23"/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</row>
    <row r="822" spans="1:19">
      <c r="A822" s="23"/>
      <c r="B822" s="23"/>
      <c r="C822" s="23"/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</row>
    <row r="823" spans="1:19">
      <c r="A823" s="23"/>
      <c r="B823" s="23"/>
      <c r="C823" s="23"/>
      <c r="D823" s="23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</row>
    <row r="824" spans="1:19">
      <c r="A824" s="23"/>
      <c r="B824" s="23"/>
      <c r="C824" s="23"/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</row>
    <row r="825" spans="1:19">
      <c r="A825" s="23"/>
      <c r="B825" s="23"/>
      <c r="C825" s="23"/>
      <c r="D825" s="23"/>
      <c r="E825" s="23"/>
      <c r="F825" s="23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</row>
    <row r="826" spans="1:19">
      <c r="A826" s="23"/>
      <c r="B826" s="23"/>
      <c r="C826" s="23"/>
      <c r="D826" s="23"/>
      <c r="E826" s="23"/>
      <c r="F826" s="23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</row>
    <row r="827" spans="1:19">
      <c r="A827" s="23"/>
      <c r="B827" s="23"/>
      <c r="C827" s="23"/>
      <c r="D827" s="23"/>
      <c r="E827" s="23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</row>
    <row r="828" spans="1:19">
      <c r="A828" s="23"/>
      <c r="B828" s="23"/>
      <c r="C828" s="23"/>
      <c r="D828" s="23"/>
      <c r="E828" s="23"/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</row>
    <row r="829" spans="1:19">
      <c r="A829" s="23"/>
      <c r="B829" s="23"/>
      <c r="C829" s="23"/>
      <c r="D829" s="23"/>
      <c r="E829" s="23"/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</row>
    <row r="830" spans="1:19">
      <c r="A830" s="23"/>
      <c r="B830" s="23"/>
      <c r="C830" s="23"/>
      <c r="D830" s="23"/>
      <c r="E830" s="23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</row>
    <row r="831" spans="1:19">
      <c r="A831" s="23"/>
      <c r="B831" s="23"/>
      <c r="C831" s="23"/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</row>
    <row r="832" spans="1:19">
      <c r="A832" s="23"/>
      <c r="B832" s="23"/>
      <c r="C832" s="23"/>
      <c r="D832" s="23"/>
      <c r="E832" s="23"/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</row>
    <row r="833" spans="1:19">
      <c r="A833" s="23"/>
      <c r="B833" s="23"/>
      <c r="C833" s="23"/>
      <c r="D833" s="23"/>
      <c r="E833" s="23"/>
      <c r="F833" s="23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</row>
    <row r="834" spans="1:19">
      <c r="A834" s="23"/>
      <c r="B834" s="23"/>
      <c r="C834" s="23"/>
      <c r="D834" s="23"/>
      <c r="E834" s="23"/>
      <c r="F834" s="23"/>
      <c r="G834" s="23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</row>
    <row r="835" spans="1:19">
      <c r="A835" s="23"/>
      <c r="B835" s="23"/>
      <c r="C835" s="23"/>
      <c r="D835" s="23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</row>
    <row r="836" spans="1:19">
      <c r="A836" s="23"/>
      <c r="B836" s="23"/>
      <c r="C836" s="23"/>
      <c r="D836" s="23"/>
      <c r="E836" s="23"/>
      <c r="F836" s="23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</row>
    <row r="837" spans="1:19">
      <c r="A837" s="23"/>
      <c r="B837" s="23"/>
      <c r="C837" s="23"/>
      <c r="D837" s="23"/>
      <c r="E837" s="23"/>
      <c r="F837" s="23"/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</row>
    <row r="838" spans="1:19">
      <c r="A838" s="23"/>
      <c r="B838" s="23"/>
      <c r="C838" s="23"/>
      <c r="D838" s="23"/>
      <c r="E838" s="23"/>
      <c r="F838" s="23"/>
      <c r="G838" s="23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</row>
    <row r="839" spans="1:19">
      <c r="A839" s="23"/>
      <c r="B839" s="23"/>
      <c r="C839" s="23"/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</row>
    <row r="840" spans="1:19">
      <c r="A840" s="23"/>
      <c r="B840" s="23"/>
      <c r="C840" s="23"/>
      <c r="D840" s="23"/>
      <c r="E840" s="23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</row>
    <row r="841" spans="1:19">
      <c r="A841" s="23"/>
      <c r="B841" s="23"/>
      <c r="C841" s="23"/>
      <c r="D841" s="23"/>
      <c r="E841" s="23"/>
      <c r="F841" s="23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</row>
    <row r="842" spans="1:19">
      <c r="A842" s="23"/>
      <c r="B842" s="23"/>
      <c r="C842" s="23"/>
      <c r="D842" s="23"/>
      <c r="E842" s="23"/>
      <c r="F842" s="23"/>
      <c r="G842" s="23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</row>
    <row r="843" spans="1:19">
      <c r="A843" s="23"/>
      <c r="B843" s="23"/>
      <c r="C843" s="23"/>
      <c r="D843" s="23"/>
      <c r="E843" s="23"/>
      <c r="F843" s="23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</row>
    <row r="844" spans="1:19">
      <c r="A844" s="23"/>
      <c r="B844" s="23"/>
      <c r="C844" s="23"/>
      <c r="D844" s="23"/>
      <c r="E844" s="23"/>
      <c r="F844" s="23"/>
      <c r="G844" s="23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</row>
    <row r="845" spans="1:19">
      <c r="A845" s="23"/>
      <c r="B845" s="23"/>
      <c r="C845" s="23"/>
      <c r="D845" s="23"/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</row>
    <row r="846" spans="1:19">
      <c r="A846" s="23"/>
      <c r="B846" s="23"/>
      <c r="C846" s="23"/>
      <c r="D846" s="23"/>
      <c r="E846" s="23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</row>
    <row r="847" spans="1:19">
      <c r="A847" s="23"/>
      <c r="B847" s="23"/>
      <c r="C847" s="23"/>
      <c r="D847" s="23"/>
      <c r="E847" s="23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</row>
    <row r="848" spans="1:19">
      <c r="A848" s="23"/>
      <c r="B848" s="23"/>
      <c r="C848" s="23"/>
      <c r="D848" s="23"/>
      <c r="E848" s="23"/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</row>
    <row r="849" spans="1:19">
      <c r="A849" s="23"/>
      <c r="B849" s="23"/>
      <c r="C849" s="23"/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</row>
    <row r="850" spans="1:19">
      <c r="A850" s="23"/>
      <c r="B850" s="23"/>
      <c r="C850" s="23"/>
      <c r="D850" s="23"/>
      <c r="E850" s="23"/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</row>
    <row r="851" spans="1:19">
      <c r="A851" s="23"/>
      <c r="B851" s="23"/>
      <c r="C851" s="23"/>
      <c r="D851" s="23"/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</row>
    <row r="852" spans="1:19">
      <c r="A852" s="23"/>
      <c r="B852" s="23"/>
      <c r="C852" s="23"/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</row>
    <row r="853" spans="1:19">
      <c r="A853" s="23"/>
      <c r="B853" s="23"/>
      <c r="C853" s="23"/>
      <c r="D853" s="23"/>
      <c r="E853" s="23"/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</row>
    <row r="854" spans="1:19">
      <c r="A854" s="23"/>
      <c r="B854" s="23"/>
      <c r="C854" s="23"/>
      <c r="D854" s="23"/>
      <c r="E854" s="23"/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</row>
    <row r="855" spans="1:19">
      <c r="A855" s="23"/>
      <c r="B855" s="23"/>
      <c r="C855" s="23"/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</row>
    <row r="856" spans="1:19">
      <c r="A856" s="23"/>
      <c r="B856" s="23"/>
      <c r="C856" s="23"/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</row>
    <row r="857" spans="1:19">
      <c r="A857" s="23"/>
      <c r="B857" s="23"/>
      <c r="C857" s="23"/>
      <c r="D857" s="23"/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</row>
    <row r="858" spans="1:19">
      <c r="A858" s="23"/>
      <c r="B858" s="23"/>
      <c r="C858" s="23"/>
      <c r="D858" s="23"/>
      <c r="E858" s="23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</row>
    <row r="859" spans="1:19">
      <c r="A859" s="23"/>
      <c r="B859" s="23"/>
      <c r="C859" s="23"/>
      <c r="D859" s="23"/>
      <c r="E859" s="23"/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</row>
    <row r="860" spans="1:19">
      <c r="A860" s="23"/>
      <c r="B860" s="23"/>
      <c r="C860" s="23"/>
      <c r="D860" s="23"/>
      <c r="E860" s="23"/>
      <c r="F860" s="23"/>
      <c r="G860" s="23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</row>
    <row r="861" spans="1:19">
      <c r="A861" s="23"/>
      <c r="B861" s="23"/>
      <c r="C861" s="23"/>
      <c r="D861" s="23"/>
      <c r="E861" s="23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</row>
    <row r="862" spans="1:19">
      <c r="A862" s="23"/>
      <c r="B862" s="23"/>
      <c r="C862" s="23"/>
      <c r="D862" s="23"/>
      <c r="E862" s="23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</row>
    <row r="863" spans="1:19">
      <c r="A863" s="23"/>
      <c r="B863" s="23"/>
      <c r="C863" s="23"/>
      <c r="D863" s="23"/>
      <c r="E863" s="23"/>
      <c r="F863" s="23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</row>
    <row r="864" spans="1:19">
      <c r="A864" s="23"/>
      <c r="B864" s="23"/>
      <c r="C864" s="23"/>
      <c r="D864" s="23"/>
      <c r="E864" s="23"/>
      <c r="F864" s="23"/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</row>
    <row r="865" spans="1:19">
      <c r="A865" s="23"/>
      <c r="B865" s="23"/>
      <c r="C865" s="23"/>
      <c r="D865" s="23"/>
      <c r="E865" s="23"/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</row>
    <row r="866" spans="1:19">
      <c r="A866" s="23"/>
      <c r="B866" s="23"/>
      <c r="C866" s="23"/>
      <c r="D866" s="23"/>
      <c r="E866" s="23"/>
      <c r="F866" s="23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</row>
    <row r="867" spans="1:19">
      <c r="A867" s="23"/>
      <c r="B867" s="23"/>
      <c r="C867" s="23"/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</row>
    <row r="868" spans="1:19">
      <c r="A868" s="23"/>
      <c r="B868" s="23"/>
      <c r="C868" s="23"/>
      <c r="D868" s="23"/>
      <c r="E868" s="23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</row>
    <row r="869" spans="1:19">
      <c r="A869" s="23"/>
      <c r="B869" s="23"/>
      <c r="C869" s="23"/>
      <c r="D869" s="23"/>
      <c r="E869" s="23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</row>
    <row r="870" spans="1:19">
      <c r="A870" s="23"/>
      <c r="B870" s="23"/>
      <c r="C870" s="23"/>
      <c r="D870" s="23"/>
      <c r="E870" s="23"/>
      <c r="F870" s="23"/>
      <c r="G870" s="23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</row>
    <row r="871" spans="1:19">
      <c r="A871" s="23"/>
      <c r="B871" s="23"/>
      <c r="C871" s="23"/>
      <c r="D871" s="23"/>
      <c r="E871" s="23"/>
      <c r="F871" s="23"/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</row>
    <row r="872" spans="1:19">
      <c r="A872" s="23"/>
      <c r="B872" s="23"/>
      <c r="C872" s="23"/>
      <c r="D872" s="23"/>
      <c r="E872" s="23"/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</row>
    <row r="873" spans="1:19">
      <c r="A873" s="23"/>
      <c r="B873" s="23"/>
      <c r="C873" s="23"/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</row>
    <row r="874" spans="1:19">
      <c r="A874" s="23"/>
      <c r="B874" s="23"/>
      <c r="C874" s="23"/>
      <c r="D874" s="23"/>
      <c r="E874" s="23"/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</row>
    <row r="875" spans="1:19">
      <c r="A875" s="23"/>
      <c r="B875" s="23"/>
      <c r="C875" s="23"/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</row>
    <row r="876" spans="1:19">
      <c r="A876" s="23"/>
      <c r="B876" s="23"/>
      <c r="C876" s="23"/>
      <c r="D876" s="23"/>
      <c r="E876" s="23"/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</row>
    <row r="877" spans="1:19">
      <c r="A877" s="23"/>
      <c r="B877" s="23"/>
      <c r="C877" s="23"/>
      <c r="D877" s="23"/>
      <c r="E877" s="23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</row>
    <row r="878" spans="1:19">
      <c r="A878" s="23"/>
      <c r="B878" s="23"/>
      <c r="C878" s="23"/>
      <c r="D878" s="23"/>
      <c r="E878" s="23"/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</row>
    <row r="879" spans="1:19">
      <c r="A879" s="23"/>
      <c r="B879" s="23"/>
      <c r="C879" s="23"/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</row>
    <row r="880" spans="1:19">
      <c r="A880" s="23"/>
      <c r="B880" s="23"/>
      <c r="C880" s="23"/>
      <c r="D880" s="23"/>
      <c r="E880" s="23"/>
      <c r="F880" s="23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</row>
    <row r="881" spans="1:19">
      <c r="A881" s="23"/>
      <c r="B881" s="23"/>
      <c r="C881" s="23"/>
      <c r="D881" s="23"/>
      <c r="E881" s="23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</row>
    <row r="882" spans="1:19">
      <c r="A882" s="23"/>
      <c r="B882" s="23"/>
      <c r="C882" s="23"/>
      <c r="D882" s="23"/>
      <c r="E882" s="23"/>
      <c r="F882" s="23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</row>
    <row r="883" spans="1:19">
      <c r="A883" s="23"/>
      <c r="B883" s="23"/>
      <c r="C883" s="23"/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</row>
    <row r="884" spans="1:19">
      <c r="A884" s="23"/>
      <c r="B884" s="23"/>
      <c r="C884" s="23"/>
      <c r="D884" s="23"/>
      <c r="E884" s="23"/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</row>
    <row r="885" spans="1:19">
      <c r="A885" s="23"/>
      <c r="B885" s="23"/>
      <c r="C885" s="23"/>
      <c r="D885" s="23"/>
      <c r="E885" s="23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</row>
    <row r="886" spans="1:19">
      <c r="A886" s="23"/>
      <c r="B886" s="23"/>
      <c r="C886" s="23"/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</row>
    <row r="887" spans="1:19">
      <c r="A887" s="23"/>
      <c r="B887" s="23"/>
      <c r="C887" s="23"/>
      <c r="D887" s="23"/>
      <c r="E887" s="23"/>
      <c r="F887" s="23"/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</row>
    <row r="888" spans="1:19">
      <c r="A888" s="23"/>
      <c r="B888" s="23"/>
      <c r="C888" s="23"/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</row>
    <row r="889" spans="1:19">
      <c r="A889" s="23"/>
      <c r="B889" s="23"/>
      <c r="C889" s="23"/>
      <c r="D889" s="23"/>
      <c r="E889" s="23"/>
      <c r="F889" s="23"/>
      <c r="G889" s="23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</row>
    <row r="890" spans="1:19">
      <c r="A890" s="23"/>
      <c r="B890" s="23"/>
      <c r="C890" s="23"/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</row>
    <row r="891" spans="1:19">
      <c r="A891" s="23"/>
      <c r="B891" s="23"/>
      <c r="C891" s="23"/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</row>
    <row r="892" spans="1:19">
      <c r="A892" s="23"/>
      <c r="B892" s="23"/>
      <c r="C892" s="23"/>
      <c r="D892" s="23"/>
      <c r="E892" s="23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</row>
    <row r="893" spans="1:19">
      <c r="A893" s="23"/>
      <c r="B893" s="23"/>
      <c r="C893" s="23"/>
      <c r="D893" s="23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</row>
    <row r="894" spans="1:19">
      <c r="A894" s="23"/>
      <c r="B894" s="23"/>
      <c r="C894" s="23"/>
      <c r="D894" s="23"/>
      <c r="E894" s="23"/>
      <c r="F894" s="23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</row>
    <row r="895" spans="1:19">
      <c r="A895" s="23"/>
      <c r="B895" s="23"/>
      <c r="C895" s="23"/>
      <c r="D895" s="23"/>
      <c r="E895" s="23"/>
      <c r="F895" s="23"/>
      <c r="G895" s="23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</row>
    <row r="896" spans="1:19">
      <c r="A896" s="23"/>
      <c r="B896" s="23"/>
      <c r="C896" s="23"/>
      <c r="D896" s="23"/>
      <c r="E896" s="23"/>
      <c r="F896" s="23"/>
      <c r="G896" s="23"/>
      <c r="H896" s="23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</row>
    <row r="897" spans="1:19">
      <c r="A897" s="23"/>
      <c r="B897" s="23"/>
      <c r="C897" s="23"/>
      <c r="D897" s="23"/>
      <c r="E897" s="23"/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</row>
    <row r="898" spans="1:19">
      <c r="A898" s="23"/>
      <c r="B898" s="23"/>
      <c r="C898" s="23"/>
      <c r="D898" s="23"/>
      <c r="E898" s="23"/>
      <c r="F898" s="23"/>
      <c r="G898" s="23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</row>
    <row r="899" spans="1:19">
      <c r="A899" s="23"/>
      <c r="B899" s="23"/>
      <c r="C899" s="23"/>
      <c r="D899" s="23"/>
      <c r="E899" s="23"/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</row>
    <row r="900" spans="1:19">
      <c r="A900" s="23"/>
      <c r="B900" s="23"/>
      <c r="C900" s="23"/>
      <c r="D900" s="23"/>
      <c r="E900" s="23"/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</row>
    <row r="901" spans="1:19">
      <c r="A901" s="23"/>
      <c r="B901" s="23"/>
      <c r="C901" s="23"/>
      <c r="D901" s="23"/>
      <c r="E901" s="23"/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</row>
    <row r="902" spans="1:19">
      <c r="A902" s="23"/>
      <c r="B902" s="23"/>
      <c r="C902" s="23"/>
      <c r="D902" s="23"/>
      <c r="E902" s="23"/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</row>
    <row r="903" spans="1:19">
      <c r="A903" s="23"/>
      <c r="B903" s="23"/>
      <c r="C903" s="23"/>
      <c r="D903" s="23"/>
      <c r="E903" s="23"/>
      <c r="F903" s="23"/>
      <c r="G903" s="23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</row>
    <row r="904" spans="1:19">
      <c r="A904" s="23"/>
      <c r="B904" s="23"/>
      <c r="C904" s="23"/>
      <c r="D904" s="23"/>
      <c r="E904" s="23"/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</row>
    <row r="905" spans="1:19">
      <c r="A905" s="23"/>
      <c r="B905" s="23"/>
      <c r="C905" s="23"/>
      <c r="D905" s="23"/>
      <c r="E905" s="23"/>
      <c r="F905" s="23"/>
      <c r="G905" s="23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</row>
    <row r="906" spans="1:19">
      <c r="A906" s="23"/>
      <c r="B906" s="23"/>
      <c r="C906" s="23"/>
      <c r="D906" s="23"/>
      <c r="E906" s="23"/>
      <c r="F906" s="23"/>
      <c r="G906" s="23"/>
      <c r="H906" s="23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</row>
    <row r="907" spans="1:19">
      <c r="A907" s="23"/>
      <c r="B907" s="23"/>
      <c r="C907" s="23"/>
      <c r="D907" s="23"/>
      <c r="E907" s="23"/>
      <c r="F907" s="23"/>
      <c r="G907" s="23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</row>
    <row r="908" spans="1:19">
      <c r="A908" s="23"/>
      <c r="B908" s="23"/>
      <c r="C908" s="23"/>
      <c r="D908" s="23"/>
      <c r="E908" s="23"/>
      <c r="F908" s="23"/>
      <c r="G908" s="23"/>
      <c r="H908" s="23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</row>
    <row r="909" spans="1:19">
      <c r="A909" s="23"/>
      <c r="B909" s="23"/>
      <c r="C909" s="23"/>
      <c r="D909" s="23"/>
      <c r="E909" s="23"/>
      <c r="F909" s="23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</row>
    <row r="910" spans="1:19">
      <c r="A910" s="23"/>
      <c r="B910" s="23"/>
      <c r="C910" s="23"/>
      <c r="D910" s="23"/>
      <c r="E910" s="23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</row>
    <row r="911" spans="1:19">
      <c r="A911" s="23"/>
      <c r="B911" s="23"/>
      <c r="C911" s="23"/>
      <c r="D911" s="23"/>
      <c r="E911" s="23"/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</row>
    <row r="912" spans="1:19">
      <c r="A912" s="23"/>
      <c r="B912" s="23"/>
      <c r="C912" s="23"/>
      <c r="D912" s="23"/>
      <c r="E912" s="23"/>
      <c r="F912" s="23"/>
      <c r="G912" s="23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</row>
    <row r="913" spans="1:19">
      <c r="A913" s="23"/>
      <c r="B913" s="23"/>
      <c r="C913" s="23"/>
      <c r="D913" s="23"/>
      <c r="E913" s="23"/>
      <c r="F913" s="23"/>
      <c r="G913" s="23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</row>
    <row r="914" spans="1:19">
      <c r="A914" s="23"/>
      <c r="B914" s="23"/>
      <c r="C914" s="23"/>
      <c r="D914" s="23"/>
      <c r="E914" s="23"/>
      <c r="F914" s="23"/>
      <c r="G914" s="23"/>
      <c r="H914" s="23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</row>
    <row r="915" spans="1:19">
      <c r="A915" s="23"/>
      <c r="B915" s="23"/>
      <c r="C915" s="23"/>
      <c r="D915" s="23"/>
      <c r="E915" s="23"/>
      <c r="F915" s="23"/>
      <c r="G915" s="23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</row>
    <row r="916" spans="1:19">
      <c r="A916" s="23"/>
      <c r="B916" s="23"/>
      <c r="C916" s="23"/>
      <c r="D916" s="23"/>
      <c r="E916" s="23"/>
      <c r="F916" s="23"/>
      <c r="G916" s="23"/>
      <c r="H916" s="23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</row>
    <row r="917" spans="1:19">
      <c r="A917" s="23"/>
      <c r="B917" s="23"/>
      <c r="C917" s="23"/>
      <c r="D917" s="23"/>
      <c r="E917" s="23"/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</row>
    <row r="918" spans="1:19">
      <c r="A918" s="23"/>
      <c r="B918" s="23"/>
      <c r="C918" s="23"/>
      <c r="D918" s="23"/>
      <c r="E918" s="23"/>
      <c r="F918" s="23"/>
      <c r="G918" s="23"/>
      <c r="H918" s="23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</row>
    <row r="919" spans="1:19">
      <c r="A919" s="23"/>
      <c r="B919" s="23"/>
      <c r="C919" s="23"/>
      <c r="D919" s="23"/>
      <c r="E919" s="23"/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</row>
    <row r="920" spans="1:19">
      <c r="A920" s="23"/>
      <c r="B920" s="23"/>
      <c r="C920" s="23"/>
      <c r="D920" s="23"/>
      <c r="E920" s="23"/>
      <c r="F920" s="23"/>
      <c r="G920" s="23"/>
      <c r="H920" s="23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</row>
    <row r="921" spans="1:19">
      <c r="A921" s="23"/>
      <c r="B921" s="23"/>
      <c r="C921" s="23"/>
      <c r="D921" s="23"/>
      <c r="E921" s="23"/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</row>
    <row r="922" spans="1:19">
      <c r="A922" s="23"/>
      <c r="B922" s="23"/>
      <c r="C922" s="23"/>
      <c r="D922" s="23"/>
      <c r="E922" s="23"/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</row>
    <row r="923" spans="1:19">
      <c r="A923" s="23"/>
      <c r="B923" s="23"/>
      <c r="C923" s="23"/>
      <c r="D923" s="23"/>
      <c r="E923" s="23"/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</row>
    <row r="924" spans="1:19">
      <c r="A924" s="23"/>
      <c r="B924" s="23"/>
      <c r="C924" s="23"/>
      <c r="D924" s="23"/>
      <c r="E924" s="23"/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</row>
    <row r="925" spans="1:19">
      <c r="A925" s="23"/>
      <c r="B925" s="23"/>
      <c r="C925" s="23"/>
      <c r="D925" s="23"/>
      <c r="E925" s="23"/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</row>
    <row r="926" spans="1:19">
      <c r="A926" s="23"/>
      <c r="B926" s="23"/>
      <c r="C926" s="23"/>
      <c r="D926" s="23"/>
      <c r="E926" s="23"/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</row>
    <row r="927" spans="1:19">
      <c r="A927" s="23"/>
      <c r="B927" s="23"/>
      <c r="C927" s="23"/>
      <c r="D927" s="23"/>
      <c r="E927" s="23"/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</row>
    <row r="928" spans="1:19">
      <c r="A928" s="23"/>
      <c r="B928" s="23"/>
      <c r="C928" s="23"/>
      <c r="D928" s="23"/>
      <c r="E928" s="23"/>
      <c r="F928" s="23"/>
      <c r="G928" s="23"/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</row>
    <row r="929" spans="1:19">
      <c r="A929" s="23"/>
      <c r="B929" s="23"/>
      <c r="C929" s="23"/>
      <c r="D929" s="23"/>
      <c r="E929" s="23"/>
      <c r="F929" s="23"/>
      <c r="G929" s="23"/>
      <c r="H929" s="23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</row>
    <row r="930" spans="1:19">
      <c r="A930" s="23"/>
      <c r="B930" s="23"/>
      <c r="C930" s="23"/>
      <c r="D930" s="23"/>
      <c r="E930" s="23"/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</row>
    <row r="931" spans="1:19">
      <c r="A931" s="23"/>
      <c r="B931" s="23"/>
      <c r="C931" s="23"/>
      <c r="D931" s="23"/>
      <c r="E931" s="23"/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</row>
    <row r="932" spans="1:19">
      <c r="A932" s="23"/>
      <c r="B932" s="23"/>
      <c r="C932" s="23"/>
      <c r="D932" s="23"/>
      <c r="E932" s="23"/>
      <c r="F932" s="23"/>
      <c r="G932" s="23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</row>
    <row r="933" spans="1:19">
      <c r="A933" s="23"/>
      <c r="B933" s="23"/>
      <c r="C933" s="23"/>
      <c r="D933" s="23"/>
      <c r="E933" s="23"/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</row>
    <row r="934" spans="1:19">
      <c r="A934" s="23"/>
      <c r="B934" s="23"/>
      <c r="C934" s="23"/>
      <c r="D934" s="23"/>
      <c r="E934" s="23"/>
      <c r="F934" s="23"/>
      <c r="G934" s="23"/>
      <c r="H934" s="23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</row>
    <row r="935" spans="1:19">
      <c r="A935" s="23"/>
      <c r="B935" s="23"/>
      <c r="C935" s="23"/>
      <c r="D935" s="23"/>
      <c r="E935" s="23"/>
      <c r="F935" s="23"/>
      <c r="G935" s="23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</row>
    <row r="936" spans="1:19">
      <c r="A936" s="23"/>
      <c r="B936" s="23"/>
      <c r="C936" s="23"/>
      <c r="D936" s="23"/>
      <c r="E936" s="23"/>
      <c r="F936" s="23"/>
      <c r="G936" s="23"/>
      <c r="H936" s="23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</row>
    <row r="937" spans="1:19">
      <c r="A937" s="23"/>
      <c r="B937" s="23"/>
      <c r="C937" s="23"/>
      <c r="D937" s="23"/>
      <c r="E937" s="23"/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</row>
    <row r="938" spans="1:19">
      <c r="A938" s="23"/>
      <c r="B938" s="23"/>
      <c r="C938" s="23"/>
      <c r="D938" s="23"/>
      <c r="E938" s="23"/>
      <c r="F938" s="23"/>
      <c r="G938" s="23"/>
      <c r="H938" s="23"/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</row>
    <row r="939" spans="1:19">
      <c r="A939" s="23"/>
      <c r="B939" s="23"/>
      <c r="C939" s="23"/>
      <c r="D939" s="23"/>
      <c r="E939" s="23"/>
      <c r="F939" s="23"/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</row>
    <row r="940" spans="1:19">
      <c r="A940" s="23"/>
      <c r="B940" s="23"/>
      <c r="C940" s="23"/>
      <c r="D940" s="23"/>
      <c r="E940" s="23"/>
      <c r="F940" s="23"/>
      <c r="G940" s="23"/>
      <c r="H940" s="23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</row>
    <row r="941" spans="1:19">
      <c r="A941" s="23"/>
      <c r="B941" s="23"/>
      <c r="C941" s="23"/>
      <c r="D941" s="23"/>
      <c r="E941" s="23"/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</row>
    <row r="942" spans="1:19">
      <c r="A942" s="23"/>
      <c r="B942" s="23"/>
      <c r="C942" s="23"/>
      <c r="D942" s="23"/>
      <c r="E942" s="23"/>
      <c r="F942" s="23"/>
      <c r="G942" s="23"/>
      <c r="H942" s="23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</row>
    <row r="943" spans="1:19">
      <c r="A943" s="23"/>
      <c r="B943" s="23"/>
      <c r="C943" s="23"/>
      <c r="D943" s="23"/>
      <c r="E943" s="23"/>
      <c r="F943" s="23"/>
      <c r="G943" s="23"/>
      <c r="H943" s="23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</row>
    <row r="944" spans="1:19">
      <c r="A944" s="23"/>
      <c r="B944" s="23"/>
      <c r="C944" s="23"/>
      <c r="D944" s="23"/>
      <c r="E944" s="23"/>
      <c r="F944" s="23"/>
      <c r="G944" s="23"/>
      <c r="H944" s="23"/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</row>
    <row r="945" spans="1:19">
      <c r="A945" s="23"/>
      <c r="B945" s="23"/>
      <c r="C945" s="23"/>
      <c r="D945" s="23"/>
      <c r="E945" s="23"/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</row>
    <row r="946" spans="1:19">
      <c r="A946" s="23"/>
      <c r="B946" s="23"/>
      <c r="C946" s="23"/>
      <c r="D946" s="23"/>
      <c r="E946" s="23"/>
      <c r="F946" s="23"/>
      <c r="G946" s="23"/>
      <c r="H946" s="23"/>
      <c r="I946" s="23"/>
      <c r="J946" s="23"/>
      <c r="K946" s="23"/>
      <c r="L946" s="23"/>
      <c r="M946" s="23"/>
      <c r="N946" s="23"/>
      <c r="O946" s="23"/>
      <c r="P946" s="23"/>
      <c r="Q946" s="23"/>
      <c r="R946" s="23"/>
      <c r="S946" s="23"/>
    </row>
    <row r="947" spans="1:19">
      <c r="A947" s="23"/>
      <c r="B947" s="23"/>
      <c r="C947" s="23"/>
      <c r="D947" s="23"/>
      <c r="E947" s="23"/>
      <c r="F947" s="23"/>
      <c r="G947" s="23"/>
      <c r="H947" s="23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</row>
    <row r="948" spans="1:19">
      <c r="A948" s="23"/>
      <c r="B948" s="23"/>
      <c r="C948" s="23"/>
      <c r="D948" s="23"/>
      <c r="E948" s="23"/>
      <c r="F948" s="23"/>
      <c r="G948" s="23"/>
      <c r="H948" s="23"/>
      <c r="I948" s="23"/>
      <c r="J948" s="23"/>
      <c r="K948" s="23"/>
      <c r="L948" s="23"/>
      <c r="M948" s="23"/>
      <c r="N948" s="23"/>
      <c r="O948" s="23"/>
      <c r="P948" s="23"/>
      <c r="Q948" s="23"/>
      <c r="R948" s="23"/>
      <c r="S948" s="23"/>
    </row>
    <row r="949" spans="1:19">
      <c r="A949" s="23"/>
      <c r="B949" s="23"/>
      <c r="C949" s="23"/>
      <c r="D949" s="23"/>
      <c r="E949" s="23"/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</row>
    <row r="950" spans="1:19">
      <c r="A950" s="23"/>
      <c r="B950" s="23"/>
      <c r="C950" s="23"/>
      <c r="D950" s="23"/>
      <c r="E950" s="23"/>
      <c r="F950" s="23"/>
      <c r="G950" s="23"/>
      <c r="H950" s="23"/>
      <c r="I950" s="23"/>
      <c r="J950" s="23"/>
      <c r="K950" s="23"/>
      <c r="L950" s="23"/>
      <c r="M950" s="23"/>
      <c r="N950" s="23"/>
      <c r="O950" s="23"/>
      <c r="P950" s="23"/>
      <c r="Q950" s="23"/>
      <c r="R950" s="23"/>
      <c r="S950" s="23"/>
    </row>
    <row r="951" spans="1:19">
      <c r="A951" s="23"/>
      <c r="B951" s="23"/>
      <c r="C951" s="23"/>
      <c r="D951" s="23"/>
      <c r="E951" s="23"/>
      <c r="F951" s="23"/>
      <c r="G951" s="23"/>
      <c r="H951" s="23"/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</row>
    <row r="952" spans="1:19">
      <c r="A952" s="23"/>
      <c r="B952" s="23"/>
      <c r="C952" s="23"/>
      <c r="D952" s="23"/>
      <c r="E952" s="23"/>
      <c r="F952" s="23"/>
      <c r="G952" s="23"/>
      <c r="H952" s="23"/>
      <c r="I952" s="23"/>
      <c r="J952" s="23"/>
      <c r="K952" s="23"/>
      <c r="L952" s="23"/>
      <c r="M952" s="23"/>
      <c r="N952" s="23"/>
      <c r="O952" s="23"/>
      <c r="P952" s="23"/>
      <c r="Q952" s="23"/>
      <c r="R952" s="23"/>
      <c r="S952" s="23"/>
    </row>
    <row r="953" spans="1:19">
      <c r="A953" s="23"/>
      <c r="B953" s="23"/>
      <c r="C953" s="23"/>
      <c r="D953" s="23"/>
      <c r="E953" s="23"/>
      <c r="F953" s="23"/>
      <c r="G953" s="23"/>
      <c r="H953" s="23"/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</row>
    <row r="954" spans="1:19">
      <c r="A954" s="23"/>
      <c r="B954" s="23"/>
      <c r="C954" s="23"/>
      <c r="D954" s="23"/>
      <c r="E954" s="23"/>
      <c r="F954" s="23"/>
      <c r="G954" s="23"/>
      <c r="H954" s="23"/>
      <c r="I954" s="23"/>
      <c r="J954" s="23"/>
      <c r="K954" s="23"/>
      <c r="L954" s="23"/>
      <c r="M954" s="23"/>
      <c r="N954" s="23"/>
      <c r="O954" s="23"/>
      <c r="P954" s="23"/>
      <c r="Q954" s="23"/>
      <c r="R954" s="23"/>
      <c r="S954" s="23"/>
    </row>
    <row r="955" spans="1:19">
      <c r="A955" s="23"/>
      <c r="B955" s="23"/>
      <c r="C955" s="23"/>
      <c r="D955" s="23"/>
      <c r="E955" s="23"/>
      <c r="F955" s="23"/>
      <c r="G955" s="23"/>
      <c r="H955" s="23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</row>
    <row r="956" spans="1:19">
      <c r="A956" s="23"/>
      <c r="B956" s="23"/>
      <c r="C956" s="23"/>
      <c r="D956" s="23"/>
      <c r="E956" s="23"/>
      <c r="F956" s="23"/>
      <c r="G956" s="23"/>
      <c r="H956" s="23"/>
      <c r="I956" s="23"/>
      <c r="J956" s="23"/>
      <c r="K956" s="23"/>
      <c r="L956" s="23"/>
      <c r="M956" s="23"/>
      <c r="N956" s="23"/>
      <c r="O956" s="23"/>
      <c r="P956" s="23"/>
      <c r="Q956" s="23"/>
      <c r="R956" s="23"/>
      <c r="S956" s="23"/>
    </row>
    <row r="957" spans="1:19">
      <c r="A957" s="23"/>
      <c r="B957" s="23"/>
      <c r="C957" s="23"/>
      <c r="D957" s="23"/>
      <c r="E957" s="23"/>
      <c r="F957" s="23"/>
      <c r="G957" s="23"/>
      <c r="H957" s="23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</row>
    <row r="958" spans="1:19">
      <c r="A958" s="23"/>
      <c r="B958" s="23"/>
      <c r="C958" s="23"/>
      <c r="D958" s="23"/>
      <c r="E958" s="23"/>
      <c r="F958" s="23"/>
      <c r="G958" s="23"/>
      <c r="H958" s="23"/>
      <c r="I958" s="23"/>
      <c r="J958" s="23"/>
      <c r="K958" s="23"/>
      <c r="L958" s="23"/>
      <c r="M958" s="23"/>
      <c r="N958" s="23"/>
      <c r="O958" s="23"/>
      <c r="P958" s="23"/>
      <c r="Q958" s="23"/>
      <c r="R958" s="23"/>
      <c r="S958" s="23"/>
    </row>
    <row r="959" spans="1:19">
      <c r="A959" s="23"/>
      <c r="B959" s="23"/>
      <c r="C959" s="23"/>
      <c r="D959" s="23"/>
      <c r="E959" s="23"/>
      <c r="F959" s="23"/>
      <c r="G959" s="23"/>
      <c r="H959" s="23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</row>
    <row r="960" spans="1:19">
      <c r="A960" s="23"/>
      <c r="B960" s="23"/>
      <c r="C960" s="23"/>
      <c r="D960" s="23"/>
      <c r="E960" s="23"/>
      <c r="F960" s="23"/>
      <c r="G960" s="23"/>
      <c r="H960" s="23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</row>
    <row r="961" spans="1:19">
      <c r="A961" s="23"/>
      <c r="B961" s="23"/>
      <c r="C961" s="23"/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</row>
    <row r="962" spans="1:19">
      <c r="A962" s="23"/>
      <c r="B962" s="23"/>
      <c r="C962" s="23"/>
      <c r="D962" s="23"/>
      <c r="E962" s="23"/>
      <c r="F962" s="23"/>
      <c r="G962" s="23"/>
      <c r="H962" s="23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</row>
    <row r="963" spans="1:19">
      <c r="A963" s="23"/>
      <c r="B963" s="23"/>
      <c r="C963" s="23"/>
      <c r="D963" s="23"/>
      <c r="E963" s="23"/>
      <c r="F963" s="23"/>
      <c r="G963" s="23"/>
      <c r="H963" s="23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</row>
    <row r="964" spans="1:19">
      <c r="A964" s="23"/>
      <c r="B964" s="23"/>
      <c r="C964" s="23"/>
      <c r="D964" s="23"/>
      <c r="E964" s="23"/>
      <c r="F964" s="23"/>
      <c r="G964" s="23"/>
      <c r="H964" s="23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</row>
    <row r="965" spans="1:19">
      <c r="A965" s="23"/>
      <c r="B965" s="23"/>
      <c r="C965" s="23"/>
      <c r="D965" s="23"/>
      <c r="E965" s="23"/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</row>
    <row r="966" spans="1:19">
      <c r="A966" s="23"/>
      <c r="B966" s="23"/>
      <c r="C966" s="23"/>
      <c r="D966" s="23"/>
      <c r="E966" s="23"/>
      <c r="F966" s="23"/>
      <c r="G966" s="23"/>
      <c r="H966" s="23"/>
      <c r="I966" s="23"/>
      <c r="J966" s="23"/>
      <c r="K966" s="23"/>
      <c r="L966" s="23"/>
      <c r="M966" s="23"/>
      <c r="N966" s="23"/>
      <c r="O966" s="23"/>
      <c r="P966" s="23"/>
      <c r="Q966" s="23"/>
      <c r="R966" s="23"/>
      <c r="S966" s="23"/>
    </row>
    <row r="967" spans="1:19">
      <c r="A967" s="23"/>
      <c r="B967" s="23"/>
      <c r="C967" s="23"/>
      <c r="D967" s="23"/>
      <c r="E967" s="23"/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</row>
    <row r="968" spans="1:19">
      <c r="A968" s="23"/>
      <c r="B968" s="23"/>
      <c r="C968" s="23"/>
      <c r="D968" s="23"/>
      <c r="E968" s="23"/>
      <c r="F968" s="23"/>
      <c r="G968" s="23"/>
      <c r="H968" s="23"/>
      <c r="I968" s="23"/>
      <c r="J968" s="23"/>
      <c r="K968" s="23"/>
      <c r="L968" s="23"/>
      <c r="M968" s="23"/>
      <c r="N968" s="23"/>
      <c r="O968" s="23"/>
      <c r="P968" s="23"/>
      <c r="Q968" s="23"/>
      <c r="R968" s="23"/>
      <c r="S968" s="23"/>
    </row>
    <row r="969" spans="1:19">
      <c r="A969" s="23"/>
      <c r="B969" s="23"/>
      <c r="C969" s="23"/>
      <c r="D969" s="23"/>
      <c r="E969" s="23"/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</row>
    <row r="970" spans="1:19">
      <c r="A970" s="23"/>
      <c r="B970" s="23"/>
      <c r="C970" s="23"/>
      <c r="D970" s="23"/>
      <c r="E970" s="23"/>
      <c r="F970" s="23"/>
      <c r="G970" s="23"/>
      <c r="H970" s="23"/>
      <c r="I970" s="23"/>
      <c r="J970" s="23"/>
      <c r="K970" s="23"/>
      <c r="L970" s="23"/>
      <c r="M970" s="23"/>
      <c r="N970" s="23"/>
      <c r="O970" s="23"/>
      <c r="P970" s="23"/>
      <c r="Q970" s="23"/>
      <c r="R970" s="23"/>
      <c r="S970" s="23"/>
    </row>
    <row r="971" spans="1:19">
      <c r="A971" s="23"/>
      <c r="B971" s="23"/>
      <c r="C971" s="23"/>
      <c r="D971" s="23"/>
      <c r="E971" s="23"/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</row>
    <row r="972" spans="1:19">
      <c r="A972" s="23"/>
      <c r="B972" s="23"/>
      <c r="C972" s="23"/>
      <c r="D972" s="23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</row>
    <row r="973" spans="1:19">
      <c r="A973" s="23"/>
      <c r="B973" s="23"/>
      <c r="C973" s="23"/>
      <c r="D973" s="23"/>
      <c r="E973" s="23"/>
      <c r="F973" s="23"/>
      <c r="G973" s="23"/>
      <c r="H973" s="23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</row>
    <row r="974" spans="1:19">
      <c r="A974" s="23"/>
      <c r="B974" s="23"/>
      <c r="C974" s="23"/>
      <c r="D974" s="23"/>
      <c r="E974" s="23"/>
      <c r="F974" s="23"/>
      <c r="G974" s="23"/>
      <c r="H974" s="23"/>
      <c r="I974" s="23"/>
      <c r="J974" s="23"/>
      <c r="K974" s="23"/>
      <c r="L974" s="23"/>
      <c r="M974" s="23"/>
      <c r="N974" s="23"/>
      <c r="O974" s="23"/>
      <c r="P974" s="23"/>
      <c r="Q974" s="23"/>
      <c r="R974" s="23"/>
      <c r="S974" s="23"/>
    </row>
    <row r="975" spans="1:19">
      <c r="A975" s="23"/>
      <c r="B975" s="23"/>
      <c r="C975" s="23"/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</row>
    <row r="976" spans="1:19">
      <c r="A976" s="23"/>
      <c r="B976" s="23"/>
      <c r="C976" s="23"/>
      <c r="D976" s="23"/>
      <c r="E976" s="23"/>
      <c r="F976" s="23"/>
      <c r="G976" s="23"/>
      <c r="H976" s="23"/>
      <c r="I976" s="23"/>
      <c r="J976" s="23"/>
      <c r="K976" s="23"/>
      <c r="L976" s="23"/>
      <c r="M976" s="23"/>
      <c r="N976" s="23"/>
      <c r="O976" s="23"/>
      <c r="P976" s="23"/>
      <c r="Q976" s="23"/>
      <c r="R976" s="23"/>
      <c r="S976" s="23"/>
    </row>
    <row r="977" spans="1:19">
      <c r="A977" s="23"/>
      <c r="B977" s="23"/>
      <c r="C977" s="23"/>
      <c r="D977" s="23"/>
      <c r="E977" s="23"/>
      <c r="F977" s="23"/>
      <c r="G977" s="23"/>
      <c r="H977" s="23"/>
      <c r="I977" s="23"/>
      <c r="J977" s="23"/>
      <c r="K977" s="23"/>
      <c r="L977" s="23"/>
      <c r="M977" s="23"/>
      <c r="N977" s="23"/>
      <c r="O977" s="23"/>
      <c r="P977" s="23"/>
      <c r="Q977" s="23"/>
      <c r="R977" s="23"/>
      <c r="S977" s="23"/>
    </row>
    <row r="978" spans="1:19">
      <c r="A978" s="23"/>
      <c r="B978" s="23"/>
      <c r="C978" s="23"/>
      <c r="D978" s="23"/>
      <c r="E978" s="23"/>
      <c r="F978" s="23"/>
      <c r="G978" s="23"/>
      <c r="H978" s="23"/>
      <c r="I978" s="23"/>
      <c r="J978" s="23"/>
      <c r="K978" s="23"/>
      <c r="L978" s="23"/>
      <c r="M978" s="23"/>
      <c r="N978" s="23"/>
      <c r="O978" s="23"/>
      <c r="P978" s="23"/>
      <c r="Q978" s="23"/>
      <c r="R978" s="23"/>
      <c r="S978" s="23"/>
    </row>
    <row r="979" spans="1:19">
      <c r="A979" s="23"/>
      <c r="B979" s="23"/>
      <c r="C979" s="23"/>
      <c r="D979" s="23"/>
      <c r="E979" s="23"/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</row>
    <row r="980" spans="1:19">
      <c r="A980" s="23"/>
      <c r="B980" s="23"/>
      <c r="C980" s="23"/>
      <c r="D980" s="23"/>
      <c r="E980" s="23"/>
      <c r="F980" s="23"/>
      <c r="G980" s="23"/>
      <c r="H980" s="23"/>
      <c r="I980" s="23"/>
      <c r="J980" s="23"/>
      <c r="K980" s="23"/>
      <c r="L980" s="23"/>
      <c r="M980" s="23"/>
      <c r="N980" s="23"/>
      <c r="O980" s="23"/>
      <c r="P980" s="23"/>
      <c r="Q980" s="23"/>
      <c r="R980" s="23"/>
      <c r="S980" s="23"/>
    </row>
    <row r="981" spans="1:19">
      <c r="A981" s="23"/>
      <c r="B981" s="23"/>
      <c r="C981" s="23"/>
      <c r="D981" s="23"/>
      <c r="E981" s="23"/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</row>
    <row r="982" spans="1:19">
      <c r="A982" s="23"/>
      <c r="B982" s="23"/>
      <c r="C982" s="23"/>
      <c r="D982" s="23"/>
      <c r="E982" s="23"/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</row>
    <row r="983" spans="1:19">
      <c r="A983" s="23"/>
      <c r="B983" s="23"/>
      <c r="C983" s="23"/>
      <c r="D983" s="23"/>
      <c r="E983" s="23"/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</row>
    <row r="984" spans="1:19">
      <c r="A984" s="23"/>
      <c r="B984" s="23"/>
      <c r="C984" s="23"/>
      <c r="D984" s="23"/>
      <c r="E984" s="23"/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</row>
    <row r="985" spans="1:19">
      <c r="A985" s="23"/>
      <c r="B985" s="23"/>
      <c r="C985" s="23"/>
      <c r="D985" s="23"/>
      <c r="E985" s="23"/>
      <c r="F985" s="23"/>
      <c r="G985" s="23"/>
      <c r="H985" s="23"/>
      <c r="I985" s="23"/>
      <c r="J985" s="23"/>
      <c r="K985" s="23"/>
      <c r="L985" s="23"/>
      <c r="M985" s="23"/>
      <c r="N985" s="23"/>
      <c r="O985" s="23"/>
      <c r="P985" s="23"/>
      <c r="Q985" s="23"/>
      <c r="R985" s="23"/>
      <c r="S985" s="23"/>
    </row>
    <row r="986" spans="1:19">
      <c r="A986" s="23"/>
      <c r="B986" s="23"/>
      <c r="C986" s="23"/>
      <c r="D986" s="23"/>
      <c r="E986" s="23"/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23"/>
    </row>
    <row r="987" spans="1:19">
      <c r="A987" s="23"/>
      <c r="B987" s="23"/>
      <c r="C987" s="23"/>
      <c r="D987" s="23"/>
      <c r="E987" s="23"/>
      <c r="F987" s="23"/>
      <c r="G987" s="23"/>
      <c r="H987" s="23"/>
      <c r="I987" s="23"/>
      <c r="J987" s="23"/>
      <c r="K987" s="23"/>
      <c r="L987" s="23"/>
      <c r="M987" s="23"/>
      <c r="N987" s="23"/>
      <c r="O987" s="23"/>
      <c r="P987" s="23"/>
      <c r="Q987" s="23"/>
      <c r="R987" s="23"/>
      <c r="S987" s="23"/>
    </row>
    <row r="988" spans="1:19">
      <c r="A988" s="23"/>
      <c r="B988" s="23"/>
      <c r="C988" s="23"/>
      <c r="D988" s="23"/>
      <c r="E988" s="23"/>
      <c r="F988" s="23"/>
      <c r="G988" s="23"/>
      <c r="H988" s="23"/>
      <c r="I988" s="23"/>
      <c r="J988" s="23"/>
      <c r="K988" s="23"/>
      <c r="L988" s="23"/>
      <c r="M988" s="23"/>
      <c r="N988" s="23"/>
      <c r="O988" s="23"/>
      <c r="P988" s="23"/>
      <c r="Q988" s="23"/>
      <c r="R988" s="23"/>
      <c r="S988" s="23"/>
    </row>
    <row r="989" spans="1:19">
      <c r="A989" s="23"/>
      <c r="B989" s="23"/>
      <c r="C989" s="23"/>
      <c r="D989" s="23"/>
      <c r="E989" s="23"/>
      <c r="F989" s="23"/>
      <c r="G989" s="23"/>
      <c r="H989" s="23"/>
      <c r="I989" s="23"/>
      <c r="J989" s="23"/>
      <c r="K989" s="23"/>
      <c r="L989" s="23"/>
      <c r="M989" s="23"/>
      <c r="N989" s="23"/>
      <c r="O989" s="23"/>
      <c r="P989" s="23"/>
      <c r="Q989" s="23"/>
      <c r="R989" s="23"/>
      <c r="S989" s="23"/>
    </row>
    <row r="990" spans="1:19">
      <c r="A990" s="23"/>
      <c r="B990" s="23"/>
      <c r="C990" s="23"/>
      <c r="D990" s="23"/>
      <c r="E990" s="23"/>
      <c r="F990" s="23"/>
      <c r="G990" s="23"/>
      <c r="H990" s="23"/>
      <c r="I990" s="23"/>
      <c r="J990" s="23"/>
      <c r="K990" s="23"/>
      <c r="L990" s="23"/>
      <c r="M990" s="23"/>
      <c r="N990" s="23"/>
      <c r="O990" s="23"/>
      <c r="P990" s="23"/>
      <c r="Q990" s="23"/>
      <c r="R990" s="23"/>
      <c r="S990" s="23"/>
    </row>
    <row r="991" spans="1:19">
      <c r="A991" s="23"/>
      <c r="B991" s="23"/>
      <c r="C991" s="23"/>
      <c r="D991" s="23"/>
      <c r="E991" s="23"/>
      <c r="F991" s="23"/>
      <c r="G991" s="23"/>
      <c r="H991" s="23"/>
      <c r="I991" s="23"/>
      <c r="J991" s="23"/>
      <c r="K991" s="23"/>
      <c r="L991" s="23"/>
      <c r="M991" s="23"/>
      <c r="N991" s="23"/>
      <c r="O991" s="23"/>
      <c r="P991" s="23"/>
      <c r="Q991" s="23"/>
      <c r="R991" s="23"/>
      <c r="S991" s="23"/>
    </row>
    <row r="992" spans="1:19">
      <c r="A992" s="23"/>
      <c r="B992" s="23"/>
      <c r="C992" s="23"/>
      <c r="D992" s="23"/>
      <c r="E992" s="23"/>
      <c r="F992" s="23"/>
      <c r="G992" s="23"/>
      <c r="H992" s="23"/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</row>
    <row r="993" spans="1:19">
      <c r="A993" s="23"/>
      <c r="B993" s="23"/>
      <c r="C993" s="23"/>
      <c r="D993" s="23"/>
      <c r="E993" s="23"/>
      <c r="F993" s="23"/>
      <c r="G993" s="23"/>
      <c r="H993" s="23"/>
      <c r="I993" s="23"/>
      <c r="J993" s="23"/>
      <c r="K993" s="23"/>
      <c r="L993" s="23"/>
      <c r="M993" s="23"/>
      <c r="N993" s="23"/>
      <c r="O993" s="23"/>
      <c r="P993" s="23"/>
      <c r="Q993" s="23"/>
      <c r="R993" s="23"/>
      <c r="S993" s="23"/>
    </row>
    <row r="994" spans="1:19">
      <c r="A994" s="23"/>
      <c r="B994" s="23"/>
      <c r="C994" s="23"/>
      <c r="D994" s="23"/>
      <c r="E994" s="23"/>
      <c r="F994" s="23"/>
      <c r="G994" s="23"/>
      <c r="H994" s="23"/>
      <c r="I994" s="23"/>
      <c r="J994" s="23"/>
      <c r="K994" s="23"/>
      <c r="L994" s="23"/>
      <c r="M994" s="23"/>
      <c r="N994" s="23"/>
      <c r="O994" s="23"/>
      <c r="P994" s="23"/>
      <c r="Q994" s="23"/>
      <c r="R994" s="23"/>
      <c r="S994" s="23"/>
    </row>
    <row r="995" spans="1:19">
      <c r="A995" s="23"/>
      <c r="B995" s="23"/>
      <c r="C995" s="23"/>
      <c r="D995" s="23"/>
      <c r="E995" s="23"/>
      <c r="F995" s="23"/>
      <c r="G995" s="23"/>
      <c r="H995" s="23"/>
      <c r="I995" s="23"/>
      <c r="J995" s="23"/>
      <c r="K995" s="23"/>
      <c r="L995" s="23"/>
      <c r="M995" s="23"/>
      <c r="N995" s="23"/>
      <c r="O995" s="23"/>
      <c r="P995" s="23"/>
      <c r="Q995" s="23"/>
      <c r="R995" s="23"/>
      <c r="S995" s="23"/>
    </row>
    <row r="996" spans="1:19">
      <c r="A996" s="23"/>
      <c r="B996" s="23"/>
      <c r="C996" s="23"/>
      <c r="D996" s="23"/>
      <c r="E996" s="23"/>
      <c r="F996" s="23"/>
      <c r="G996" s="23"/>
      <c r="H996" s="23"/>
      <c r="I996" s="23"/>
      <c r="J996" s="23"/>
      <c r="K996" s="23"/>
      <c r="L996" s="23"/>
      <c r="M996" s="23"/>
      <c r="N996" s="23"/>
      <c r="O996" s="23"/>
      <c r="P996" s="23"/>
      <c r="Q996" s="23"/>
      <c r="R996" s="23"/>
      <c r="S996" s="23"/>
    </row>
    <row r="997" spans="1:19">
      <c r="A997" s="23"/>
      <c r="B997" s="23"/>
      <c r="C997" s="23"/>
      <c r="D997" s="23"/>
      <c r="E997" s="23"/>
      <c r="F997" s="23"/>
      <c r="G997" s="23"/>
      <c r="H997" s="23"/>
      <c r="I997" s="23"/>
      <c r="J997" s="23"/>
      <c r="K997" s="23"/>
      <c r="L997" s="23"/>
      <c r="M997" s="23"/>
      <c r="N997" s="23"/>
      <c r="O997" s="23"/>
      <c r="P997" s="23"/>
      <c r="Q997" s="23"/>
      <c r="R997" s="23"/>
      <c r="S997" s="23"/>
    </row>
    <row r="998" spans="1:19">
      <c r="A998" s="23"/>
      <c r="B998" s="23"/>
      <c r="C998" s="23"/>
      <c r="D998" s="23"/>
      <c r="E998" s="23"/>
      <c r="F998" s="23"/>
      <c r="G998" s="23"/>
      <c r="H998" s="23"/>
      <c r="I998" s="23"/>
      <c r="J998" s="23"/>
      <c r="K998" s="23"/>
      <c r="L998" s="23"/>
      <c r="M998" s="23"/>
      <c r="N998" s="23"/>
      <c r="O998" s="23"/>
      <c r="P998" s="23"/>
      <c r="Q998" s="23"/>
      <c r="R998" s="23"/>
      <c r="S998" s="23"/>
    </row>
    <row r="999" spans="1:19">
      <c r="A999" s="23"/>
      <c r="B999" s="23"/>
      <c r="C999" s="23"/>
      <c r="D999" s="23"/>
      <c r="E999" s="23"/>
      <c r="F999" s="23"/>
      <c r="G999" s="23"/>
      <c r="H999" s="23"/>
      <c r="I999" s="23"/>
      <c r="J999" s="23"/>
      <c r="K999" s="23"/>
      <c r="L999" s="23"/>
      <c r="M999" s="23"/>
      <c r="N999" s="23"/>
      <c r="O999" s="23"/>
      <c r="P999" s="23"/>
      <c r="Q999" s="23"/>
      <c r="R999" s="23"/>
      <c r="S999" s="23"/>
    </row>
    <row r="1000" spans="1:19">
      <c r="A1000" s="23"/>
      <c r="B1000" s="23"/>
      <c r="C1000" s="23"/>
      <c r="D1000" s="23"/>
      <c r="E1000" s="23"/>
      <c r="F1000" s="23"/>
      <c r="G1000" s="23"/>
      <c r="H1000" s="23"/>
      <c r="I1000" s="23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outlinePr summaryBelow="0" summaryRight="0"/>
  </sheetPr>
  <dimension ref="A1:S1000"/>
  <sheetViews>
    <sheetView workbookViewId="0"/>
  </sheetViews>
  <sheetFormatPr baseColWidth="10" defaultColWidth="11.1640625" defaultRowHeight="15" customHeight="1"/>
  <sheetData>
    <row r="1" spans="1:19">
      <c r="A1" s="23" t="str">
        <f ca="1">IFERROR(__xludf.DUMMYFUNCTION("IMPORTRANGE(""https://docs.google.com/spreadsheets/d/1z4YRaGqzB5CSH1QvrQ0P4hE3QIugBSuK3MtmD3fQOgk/edit?gid=1208378285#gid=1208378285"",""01!A1:S"")"),"INDICADORES")</f>
        <v>INDICADORES</v>
      </c>
      <c r="B1" s="23" t="str">
        <f ca="1">IFERROR(__xludf.DUMMYFUNCTION("""COMPUTED_VALUE"""),"META ANUAL")</f>
        <v>META ANUAL</v>
      </c>
      <c r="C1" s="23" t="str">
        <f ca="1">IFERROR(__xludf.DUMMYFUNCTION("""COMPUTED_VALUE"""),"UNIDAD DE MEDIDA")</f>
        <v>UNIDAD DE MEDIDA</v>
      </c>
      <c r="D1" s="23" t="str">
        <f ca="1">IFERROR(__xludf.DUMMYFUNCTION("""COMPUTED_VALUE"""),"TIPO DE INDICADOR")</f>
        <v>TIPO DE INDICADOR</v>
      </c>
      <c r="E1" s="23" t="str">
        <f ca="1">IFERROR(__xludf.DUMMYFUNCTION("""COMPUTED_VALUE"""),"MEDIO DE VERIFICACION")</f>
        <v>MEDIO DE VERIFICACION</v>
      </c>
      <c r="F1" s="23" t="str">
        <f ca="1">IFERROR(__xludf.DUMMYFUNCTION("""COMPUTED_VALUE"""),"% AVANCE ")</f>
        <v xml:space="preserve">% AVANCE </v>
      </c>
      <c r="G1" s="23" t="str">
        <f ca="1">IFERROR(__xludf.DUMMYFUNCTION("""COMPUTED_VALUE"""),"OCTUBRE")</f>
        <v>OCTUBRE</v>
      </c>
      <c r="H1" s="23" t="str">
        <f ca="1">IFERROR(__xludf.DUMMYFUNCTION("""COMPUTED_VALUE"""),"NOVIEMBRE")</f>
        <v>NOVIEMBRE</v>
      </c>
      <c r="I1" s="23" t="str">
        <f ca="1">IFERROR(__xludf.DUMMYFUNCTION("""COMPUTED_VALUE"""),"DICIEMBRE")</f>
        <v>DICIEMBRE</v>
      </c>
      <c r="J1" s="23" t="str">
        <f ca="1">IFERROR(__xludf.DUMMYFUNCTION("""COMPUTED_VALUE"""),"ENERO ")</f>
        <v xml:space="preserve">ENERO </v>
      </c>
      <c r="K1" s="23" t="str">
        <f ca="1">IFERROR(__xludf.DUMMYFUNCTION("""COMPUTED_VALUE"""),"FEBRERO")</f>
        <v>FEBRERO</v>
      </c>
      <c r="L1" s="23" t="str">
        <f ca="1">IFERROR(__xludf.DUMMYFUNCTION("""COMPUTED_VALUE"""),"MARZO")</f>
        <v>MARZO</v>
      </c>
      <c r="M1" s="23" t="str">
        <f ca="1">IFERROR(__xludf.DUMMYFUNCTION("""COMPUTED_VALUE"""),"ABRIL")</f>
        <v>ABRIL</v>
      </c>
      <c r="N1" s="23" t="str">
        <f ca="1">IFERROR(__xludf.DUMMYFUNCTION("""COMPUTED_VALUE"""),"MAYO")</f>
        <v>MAYO</v>
      </c>
      <c r="O1" s="23" t="str">
        <f ca="1">IFERROR(__xludf.DUMMYFUNCTION("""COMPUTED_VALUE"""),"JUNIO")</f>
        <v>JUNIO</v>
      </c>
      <c r="P1" s="23" t="str">
        <f ca="1">IFERROR(__xludf.DUMMYFUNCTION("""COMPUTED_VALUE"""),"JULIO")</f>
        <v>JULIO</v>
      </c>
      <c r="Q1" s="23" t="str">
        <f ca="1">IFERROR(__xludf.DUMMYFUNCTION("""COMPUTED_VALUE"""),"AGOSTO")</f>
        <v>AGOSTO</v>
      </c>
      <c r="R1" s="23" t="str">
        <f ca="1">IFERROR(__xludf.DUMMYFUNCTION("""COMPUTED_VALUE"""),"SEPTIEMBRE")</f>
        <v>SEPTIEMBRE</v>
      </c>
      <c r="S1" s="23" t="str">
        <f ca="1">IFERROR(__xludf.DUMMYFUNCTION("""COMPUTED_VALUE"""),"SUMATORIA TOTAL")</f>
        <v>SUMATORIA TOTAL</v>
      </c>
    </row>
    <row r="2" spans="1:19">
      <c r="A2" s="23" t="str">
        <f ca="1">IFERROR(__xludf.DUMMYFUNCTION("""COMPUTED_VALUE"""),"HORAS DE SERVICIO PRESTADAS")</f>
        <v>HORAS DE SERVICIO PRESTADAS</v>
      </c>
      <c r="B2" s="23">
        <f ca="1">IFERROR(__xludf.DUMMYFUNCTION("""COMPUTED_VALUE"""),1)</f>
        <v>1</v>
      </c>
      <c r="C2" s="23"/>
      <c r="D2" s="23" t="str">
        <f ca="1">IFERROR(__xludf.DUMMYFUNCTION("""COMPUTED_VALUE"""),"ASCENDENTE")</f>
        <v>ASCENDENTE</v>
      </c>
      <c r="E2" s="23" t="str">
        <f ca="1">IFERROR(__xludf.DUMMYFUNCTION("""COMPUTED_VALUE"""),"SESIONES PUBLICAS")</f>
        <v>SESIONES PUBLICAS</v>
      </c>
      <c r="F2" s="23">
        <f ca="1">IFERROR(__xludf.DUMMYFUNCTION("""COMPUTED_VALUE"""),0)</f>
        <v>0</v>
      </c>
      <c r="G2" s="23">
        <f ca="1">IFERROR(__xludf.DUMMYFUNCTION("""COMPUTED_VALUE"""),0)</f>
        <v>0</v>
      </c>
      <c r="H2" s="23">
        <f ca="1">IFERROR(__xludf.DUMMYFUNCTION("""COMPUTED_VALUE"""),0)</f>
        <v>0</v>
      </c>
      <c r="I2" s="23">
        <f ca="1">IFERROR(__xludf.DUMMYFUNCTION("""COMPUTED_VALUE"""),0)</f>
        <v>0</v>
      </c>
      <c r="J2" s="23">
        <f ca="1">IFERROR(__xludf.DUMMYFUNCTION("""COMPUTED_VALUE"""),2400)</f>
        <v>2400</v>
      </c>
      <c r="K2" s="23">
        <f ca="1">IFERROR(__xludf.DUMMYFUNCTION("""COMPUTED_VALUE"""),2400)</f>
        <v>2400</v>
      </c>
      <c r="L2" s="23">
        <f ca="1">IFERROR(__xludf.DUMMYFUNCTION("""COMPUTED_VALUE"""),2400)</f>
        <v>2400</v>
      </c>
      <c r="M2" s="23">
        <f ca="1">IFERROR(__xludf.DUMMYFUNCTION("""COMPUTED_VALUE"""),0)</f>
        <v>0</v>
      </c>
      <c r="N2" s="23">
        <f ca="1">IFERROR(__xludf.DUMMYFUNCTION("""COMPUTED_VALUE"""),0)</f>
        <v>0</v>
      </c>
      <c r="O2" s="23">
        <f ca="1">IFERROR(__xludf.DUMMYFUNCTION("""COMPUTED_VALUE"""),0)</f>
        <v>0</v>
      </c>
      <c r="P2" s="23">
        <f ca="1">IFERROR(__xludf.DUMMYFUNCTION("""COMPUTED_VALUE"""),0)</f>
        <v>0</v>
      </c>
      <c r="Q2" s="23">
        <f ca="1">IFERROR(__xludf.DUMMYFUNCTION("""COMPUTED_VALUE"""),0)</f>
        <v>0</v>
      </c>
      <c r="R2" s="23">
        <f ca="1">IFERROR(__xludf.DUMMYFUNCTION("""COMPUTED_VALUE"""),0)</f>
        <v>0</v>
      </c>
      <c r="S2" s="23">
        <f ca="1">IFERROR(__xludf.DUMMYFUNCTION("""COMPUTED_VALUE"""),7200)</f>
        <v>7200</v>
      </c>
    </row>
    <row r="3" spans="1:19">
      <c r="A3" s="23" t="str">
        <f ca="1">IFERROR(__xludf.DUMMYFUNCTION("""COMPUTED_VALUE"""),"NUMERO DE ACARREOS REALIZADOS")</f>
        <v>NUMERO DE ACARREOS REALIZADOS</v>
      </c>
      <c r="B3" s="23">
        <f ca="1">IFERROR(__xludf.DUMMYFUNCTION("""COMPUTED_VALUE"""),1)</f>
        <v>1</v>
      </c>
      <c r="C3" s="23"/>
      <c r="D3" s="23" t="str">
        <f ca="1">IFERROR(__xludf.DUMMYFUNCTION("""COMPUTED_VALUE"""),"ASCENDENTE")</f>
        <v>ASCENDENTE</v>
      </c>
      <c r="E3" s="23" t="str">
        <f ca="1">IFERROR(__xludf.DUMMYFUNCTION("""COMPUTED_VALUE"""),"BITACORA DE ATENCION")</f>
        <v>BITACORA DE ATENCION</v>
      </c>
      <c r="F3" s="23">
        <f ca="1">IFERROR(__xludf.DUMMYFUNCTION("""COMPUTED_VALUE"""),0)</f>
        <v>0</v>
      </c>
      <c r="G3" s="23">
        <f ca="1">IFERROR(__xludf.DUMMYFUNCTION("""COMPUTED_VALUE"""),0)</f>
        <v>0</v>
      </c>
      <c r="H3" s="23">
        <f ca="1">IFERROR(__xludf.DUMMYFUNCTION("""COMPUTED_VALUE"""),0)</f>
        <v>0</v>
      </c>
      <c r="I3" s="23">
        <f ca="1">IFERROR(__xludf.DUMMYFUNCTION("""COMPUTED_VALUE"""),0)</f>
        <v>0</v>
      </c>
      <c r="J3" s="23">
        <f ca="1">IFERROR(__xludf.DUMMYFUNCTION("""COMPUTED_VALUE"""),319)</f>
        <v>319</v>
      </c>
      <c r="K3" s="23">
        <f ca="1">IFERROR(__xludf.DUMMYFUNCTION("""COMPUTED_VALUE"""),354)</f>
        <v>354</v>
      </c>
      <c r="L3" s="23">
        <f ca="1">IFERROR(__xludf.DUMMYFUNCTION("""COMPUTED_VALUE"""),0)</f>
        <v>0</v>
      </c>
      <c r="M3" s="23">
        <f ca="1">IFERROR(__xludf.DUMMYFUNCTION("""COMPUTED_VALUE"""),0)</f>
        <v>0</v>
      </c>
      <c r="N3" s="23">
        <f ca="1">IFERROR(__xludf.DUMMYFUNCTION("""COMPUTED_VALUE"""),0)</f>
        <v>0</v>
      </c>
      <c r="O3" s="23">
        <f ca="1">IFERROR(__xludf.DUMMYFUNCTION("""COMPUTED_VALUE"""),0)</f>
        <v>0</v>
      </c>
      <c r="P3" s="23">
        <f ca="1">IFERROR(__xludf.DUMMYFUNCTION("""COMPUTED_VALUE"""),0)</f>
        <v>0</v>
      </c>
      <c r="Q3" s="23">
        <f ca="1">IFERROR(__xludf.DUMMYFUNCTION("""COMPUTED_VALUE"""),0)</f>
        <v>0</v>
      </c>
      <c r="R3" s="23">
        <f ca="1">IFERROR(__xludf.DUMMYFUNCTION("""COMPUTED_VALUE"""),0)</f>
        <v>0</v>
      </c>
      <c r="S3" s="23">
        <f ca="1">IFERROR(__xludf.DUMMYFUNCTION("""COMPUTED_VALUE"""),673)</f>
        <v>673</v>
      </c>
    </row>
    <row r="4" spans="1:19">
      <c r="A4" s="23" t="str">
        <f ca="1">IFERROR(__xludf.DUMMYFUNCTION("""COMPUTED_VALUE"""),"NUMERO DE MAQUINAS OPERATIVAS")</f>
        <v>NUMERO DE MAQUINAS OPERATIVAS</v>
      </c>
      <c r="B4" s="23">
        <f ca="1">IFERROR(__xludf.DUMMYFUNCTION("""COMPUTED_VALUE"""),1)</f>
        <v>1</v>
      </c>
      <c r="C4" s="23"/>
      <c r="D4" s="23" t="str">
        <f ca="1">IFERROR(__xludf.DUMMYFUNCTION("""COMPUTED_VALUE"""),"ASCENDENTE")</f>
        <v>ASCENDENTE</v>
      </c>
      <c r="E4" s="23" t="str">
        <f ca="1">IFERROR(__xludf.DUMMYFUNCTION("""COMPUTED_VALUE"""),"BITACORA DE ATENCION")</f>
        <v>BITACORA DE ATENCION</v>
      </c>
      <c r="F4" s="23">
        <f ca="1">IFERROR(__xludf.DUMMYFUNCTION("""COMPUTED_VALUE"""),0)</f>
        <v>0</v>
      </c>
      <c r="G4" s="23">
        <f ca="1">IFERROR(__xludf.DUMMYFUNCTION("""COMPUTED_VALUE"""),0)</f>
        <v>0</v>
      </c>
      <c r="H4" s="23">
        <f ca="1">IFERROR(__xludf.DUMMYFUNCTION("""COMPUTED_VALUE"""),0)</f>
        <v>0</v>
      </c>
      <c r="I4" s="23">
        <f ca="1">IFERROR(__xludf.DUMMYFUNCTION("""COMPUTED_VALUE"""),0)</f>
        <v>0</v>
      </c>
      <c r="J4" s="23">
        <f ca="1">IFERROR(__xludf.DUMMYFUNCTION("""COMPUTED_VALUE"""),9)</f>
        <v>9</v>
      </c>
      <c r="K4" s="23">
        <f ca="1">IFERROR(__xludf.DUMMYFUNCTION("""COMPUTED_VALUE"""),9)</f>
        <v>9</v>
      </c>
      <c r="L4" s="23">
        <f ca="1">IFERROR(__xludf.DUMMYFUNCTION("""COMPUTED_VALUE"""),0)</f>
        <v>0</v>
      </c>
      <c r="M4" s="23">
        <f ca="1">IFERROR(__xludf.DUMMYFUNCTION("""COMPUTED_VALUE"""),0)</f>
        <v>0</v>
      </c>
      <c r="N4" s="23">
        <f ca="1">IFERROR(__xludf.DUMMYFUNCTION("""COMPUTED_VALUE"""),0)</f>
        <v>0</v>
      </c>
      <c r="O4" s="23">
        <f ca="1">IFERROR(__xludf.DUMMYFUNCTION("""COMPUTED_VALUE"""),0)</f>
        <v>0</v>
      </c>
      <c r="P4" s="23">
        <f ca="1">IFERROR(__xludf.DUMMYFUNCTION("""COMPUTED_VALUE"""),0)</f>
        <v>0</v>
      </c>
      <c r="Q4" s="23">
        <f ca="1">IFERROR(__xludf.DUMMYFUNCTION("""COMPUTED_VALUE"""),0)</f>
        <v>0</v>
      </c>
      <c r="R4" s="23">
        <f ca="1">IFERROR(__xludf.DUMMYFUNCTION("""COMPUTED_VALUE"""),0)</f>
        <v>0</v>
      </c>
      <c r="S4" s="23">
        <f ca="1">IFERROR(__xludf.DUMMYFUNCTION("""COMPUTED_VALUE"""),18)</f>
        <v>18</v>
      </c>
    </row>
    <row r="5" spans="1:19">
      <c r="A5" s="23" t="str">
        <f ca="1">IFERROR(__xludf.DUMMYFUNCTION("""COMPUTED_VALUE"""),"OBRAS EN PROCESO")</f>
        <v>OBRAS EN PROCESO</v>
      </c>
      <c r="B5" s="23">
        <f ca="1">IFERROR(__xludf.DUMMYFUNCTION("""COMPUTED_VALUE"""),1)</f>
        <v>1</v>
      </c>
      <c r="C5" s="23"/>
      <c r="D5" s="23" t="str">
        <f ca="1">IFERROR(__xludf.DUMMYFUNCTION("""COMPUTED_VALUE"""),"ASCENDENTE")</f>
        <v>ASCENDENTE</v>
      </c>
      <c r="E5" s="23" t="str">
        <f ca="1">IFERROR(__xludf.DUMMYFUNCTION("""COMPUTED_VALUE"""),"BITACORA OPERATIVA")</f>
        <v>BITACORA OPERATIVA</v>
      </c>
      <c r="F5" s="23">
        <f ca="1">IFERROR(__xludf.DUMMYFUNCTION("""COMPUTED_VALUE"""),0)</f>
        <v>0</v>
      </c>
      <c r="G5" s="23">
        <f ca="1">IFERROR(__xludf.DUMMYFUNCTION("""COMPUTED_VALUE"""),0)</f>
        <v>0</v>
      </c>
      <c r="H5" s="23">
        <f ca="1">IFERROR(__xludf.DUMMYFUNCTION("""COMPUTED_VALUE"""),0)</f>
        <v>0</v>
      </c>
      <c r="I5" s="23">
        <f ca="1">IFERROR(__xludf.DUMMYFUNCTION("""COMPUTED_VALUE"""),0)</f>
        <v>0</v>
      </c>
      <c r="J5" s="23">
        <f ca="1">IFERROR(__xludf.DUMMYFUNCTION("""COMPUTED_VALUE"""),9)</f>
        <v>9</v>
      </c>
      <c r="K5" s="23">
        <f ca="1">IFERROR(__xludf.DUMMYFUNCTION("""COMPUTED_VALUE"""),9)</f>
        <v>9</v>
      </c>
      <c r="L5" s="23">
        <f ca="1">IFERROR(__xludf.DUMMYFUNCTION("""COMPUTED_VALUE"""),6)</f>
        <v>6</v>
      </c>
      <c r="M5" s="23">
        <f ca="1">IFERROR(__xludf.DUMMYFUNCTION("""COMPUTED_VALUE"""),0)</f>
        <v>0</v>
      </c>
      <c r="N5" s="23">
        <f ca="1">IFERROR(__xludf.DUMMYFUNCTION("""COMPUTED_VALUE"""),0)</f>
        <v>0</v>
      </c>
      <c r="O5" s="23">
        <f ca="1">IFERROR(__xludf.DUMMYFUNCTION("""COMPUTED_VALUE"""),0)</f>
        <v>0</v>
      </c>
      <c r="P5" s="23">
        <f ca="1">IFERROR(__xludf.DUMMYFUNCTION("""COMPUTED_VALUE"""),0)</f>
        <v>0</v>
      </c>
      <c r="Q5" s="23">
        <f ca="1">IFERROR(__xludf.DUMMYFUNCTION("""COMPUTED_VALUE"""),0)</f>
        <v>0</v>
      </c>
      <c r="R5" s="23">
        <f ca="1">IFERROR(__xludf.DUMMYFUNCTION("""COMPUTED_VALUE"""),0)</f>
        <v>0</v>
      </c>
      <c r="S5" s="23">
        <f ca="1">IFERROR(__xludf.DUMMYFUNCTION("""COMPUTED_VALUE"""),24)</f>
        <v>24</v>
      </c>
    </row>
    <row r="6" spans="1:19">
      <c r="A6" s="23" t="str">
        <f ca="1">IFERROR(__xludf.DUMMYFUNCTION("""COMPUTED_VALUE"""),"OBRAS FINALIZADAS")</f>
        <v>OBRAS FINALIZADAS</v>
      </c>
      <c r="B6" s="23">
        <f ca="1">IFERROR(__xludf.DUMMYFUNCTION("""COMPUTED_VALUE"""),1)</f>
        <v>1</v>
      </c>
      <c r="C6" s="23"/>
      <c r="D6" s="23" t="str">
        <f ca="1">IFERROR(__xludf.DUMMYFUNCTION("""COMPUTED_VALUE"""),"ASCENDENTE")</f>
        <v>ASCENDENTE</v>
      </c>
      <c r="E6" s="23" t="str">
        <f ca="1">IFERROR(__xludf.DUMMYFUNCTION("""COMPUTED_VALUE"""),"BITACORA OPERATIVA")</f>
        <v>BITACORA OPERATIVA</v>
      </c>
      <c r="F6" s="23">
        <f ca="1">IFERROR(__xludf.DUMMYFUNCTION("""COMPUTED_VALUE"""),0)</f>
        <v>0</v>
      </c>
      <c r="G6" s="23">
        <f ca="1">IFERROR(__xludf.DUMMYFUNCTION("""COMPUTED_VALUE"""),0)</f>
        <v>0</v>
      </c>
      <c r="H6" s="23">
        <f ca="1">IFERROR(__xludf.DUMMYFUNCTION("""COMPUTED_VALUE"""),0)</f>
        <v>0</v>
      </c>
      <c r="I6" s="23">
        <f ca="1">IFERROR(__xludf.DUMMYFUNCTION("""COMPUTED_VALUE"""),0)</f>
        <v>0</v>
      </c>
      <c r="J6" s="23">
        <f ca="1">IFERROR(__xludf.DUMMYFUNCTION("""COMPUTED_VALUE"""),6)</f>
        <v>6</v>
      </c>
      <c r="K6" s="23">
        <f ca="1">IFERROR(__xludf.DUMMYFUNCTION("""COMPUTED_VALUE"""),0)</f>
        <v>0</v>
      </c>
      <c r="L6" s="23">
        <f ca="1">IFERROR(__xludf.DUMMYFUNCTION("""COMPUTED_VALUE"""),0)</f>
        <v>0</v>
      </c>
      <c r="M6" s="23">
        <f ca="1">IFERROR(__xludf.DUMMYFUNCTION("""COMPUTED_VALUE"""),0)</f>
        <v>0</v>
      </c>
      <c r="N6" s="23">
        <f ca="1">IFERROR(__xludf.DUMMYFUNCTION("""COMPUTED_VALUE"""),0)</f>
        <v>0</v>
      </c>
      <c r="O6" s="23">
        <f ca="1">IFERROR(__xludf.DUMMYFUNCTION("""COMPUTED_VALUE"""),0)</f>
        <v>0</v>
      </c>
      <c r="P6" s="23">
        <f ca="1">IFERROR(__xludf.DUMMYFUNCTION("""COMPUTED_VALUE"""),0)</f>
        <v>0</v>
      </c>
      <c r="Q6" s="23">
        <f ca="1">IFERROR(__xludf.DUMMYFUNCTION("""COMPUTED_VALUE"""),0)</f>
        <v>0</v>
      </c>
      <c r="R6" s="23">
        <f ca="1">IFERROR(__xludf.DUMMYFUNCTION("""COMPUTED_VALUE"""),0)</f>
        <v>0</v>
      </c>
      <c r="S6" s="23">
        <f ca="1">IFERROR(__xludf.DUMMYFUNCTION("""COMPUTED_VALUE"""),6)</f>
        <v>6</v>
      </c>
    </row>
    <row r="7" spans="1:19">
      <c r="A7" s="23" t="str">
        <f ca="1">IFERROR(__xludf.DUMMYFUNCTION("""COMPUTED_VALUE"""),"PROYECTOS ELABORADOS")</f>
        <v>PROYECTOS ELABORADOS</v>
      </c>
      <c r="B7" s="23">
        <f ca="1">IFERROR(__xludf.DUMMYFUNCTION("""COMPUTED_VALUE"""),1)</f>
        <v>1</v>
      </c>
      <c r="C7" s="23"/>
      <c r="D7" s="23" t="str">
        <f ca="1">IFERROR(__xludf.DUMMYFUNCTION("""COMPUTED_VALUE"""),"ASCENDENTE")</f>
        <v>ASCENDENTE</v>
      </c>
      <c r="E7" s="23" t="str">
        <f ca="1">IFERROR(__xludf.DUMMYFUNCTION("""COMPUTED_VALUE"""),"BITACORA OPERATIVA")</f>
        <v>BITACORA OPERATIVA</v>
      </c>
      <c r="F7" s="23">
        <f ca="1">IFERROR(__xludf.DUMMYFUNCTION("""COMPUTED_VALUE"""),0)</f>
        <v>0</v>
      </c>
      <c r="G7" s="23">
        <f ca="1">IFERROR(__xludf.DUMMYFUNCTION("""COMPUTED_VALUE"""),0)</f>
        <v>0</v>
      </c>
      <c r="H7" s="23">
        <f ca="1">IFERROR(__xludf.DUMMYFUNCTION("""COMPUTED_VALUE"""),0)</f>
        <v>0</v>
      </c>
      <c r="I7" s="23">
        <f ca="1">IFERROR(__xludf.DUMMYFUNCTION("""COMPUTED_VALUE"""),0)</f>
        <v>0</v>
      </c>
      <c r="J7" s="23">
        <f ca="1">IFERROR(__xludf.DUMMYFUNCTION("""COMPUTED_VALUE"""),6)</f>
        <v>6</v>
      </c>
      <c r="K7" s="23">
        <f ca="1">IFERROR(__xludf.DUMMYFUNCTION("""COMPUTED_VALUE"""),0)</f>
        <v>0</v>
      </c>
      <c r="L7" s="23">
        <f ca="1">IFERROR(__xludf.DUMMYFUNCTION("""COMPUTED_VALUE"""),0)</f>
        <v>0</v>
      </c>
      <c r="M7" s="23">
        <f ca="1">IFERROR(__xludf.DUMMYFUNCTION("""COMPUTED_VALUE"""),0)</f>
        <v>0</v>
      </c>
      <c r="N7" s="23">
        <f ca="1">IFERROR(__xludf.DUMMYFUNCTION("""COMPUTED_VALUE"""),0)</f>
        <v>0</v>
      </c>
      <c r="O7" s="23">
        <f ca="1">IFERROR(__xludf.DUMMYFUNCTION("""COMPUTED_VALUE"""),0)</f>
        <v>0</v>
      </c>
      <c r="P7" s="23">
        <f ca="1">IFERROR(__xludf.DUMMYFUNCTION("""COMPUTED_VALUE"""),0)</f>
        <v>0</v>
      </c>
      <c r="Q7" s="23">
        <f ca="1">IFERROR(__xludf.DUMMYFUNCTION("""COMPUTED_VALUE"""),0)</f>
        <v>0</v>
      </c>
      <c r="R7" s="23">
        <f ca="1">IFERROR(__xludf.DUMMYFUNCTION("""COMPUTED_VALUE"""),0)</f>
        <v>0</v>
      </c>
      <c r="S7" s="23">
        <f ca="1">IFERROR(__xludf.DUMMYFUNCTION("""COMPUTED_VALUE"""),6)</f>
        <v>6</v>
      </c>
    </row>
    <row r="8" spans="1:19">
      <c r="A8" s="23" t="str">
        <f ca="1">IFERROR(__xludf.DUMMYFUNCTION("""COMPUTED_VALUE"""),"DICTAMENES")</f>
        <v>DICTAMENES</v>
      </c>
      <c r="B8" s="23">
        <f ca="1">IFERROR(__xludf.DUMMYFUNCTION("""COMPUTED_VALUE"""),1)</f>
        <v>1</v>
      </c>
      <c r="C8" s="23"/>
      <c r="D8" s="23" t="str">
        <f ca="1">IFERROR(__xludf.DUMMYFUNCTION("""COMPUTED_VALUE"""),"ASCENDENTE")</f>
        <v>ASCENDENTE</v>
      </c>
      <c r="E8" s="23" t="str">
        <f ca="1">IFERROR(__xludf.DUMMYFUNCTION("""COMPUTED_VALUE"""),"BITACORA OPERATIVA")</f>
        <v>BITACORA OPERATIVA</v>
      </c>
      <c r="F8" s="23">
        <f ca="1">IFERROR(__xludf.DUMMYFUNCTION("""COMPUTED_VALUE"""),0)</f>
        <v>0</v>
      </c>
      <c r="G8" s="23">
        <f ca="1">IFERROR(__xludf.DUMMYFUNCTION("""COMPUTED_VALUE"""),0)</f>
        <v>0</v>
      </c>
      <c r="H8" s="23">
        <f ca="1">IFERROR(__xludf.DUMMYFUNCTION("""COMPUTED_VALUE"""),0)</f>
        <v>0</v>
      </c>
      <c r="I8" s="23">
        <f ca="1">IFERROR(__xludf.DUMMYFUNCTION("""COMPUTED_VALUE"""),0)</f>
        <v>0</v>
      </c>
      <c r="J8" s="23">
        <f ca="1">IFERROR(__xludf.DUMMYFUNCTION("""COMPUTED_VALUE"""),10)</f>
        <v>10</v>
      </c>
      <c r="K8" s="23">
        <f ca="1">IFERROR(__xludf.DUMMYFUNCTION("""COMPUTED_VALUE"""),21)</f>
        <v>21</v>
      </c>
      <c r="L8" s="23">
        <f ca="1">IFERROR(__xludf.DUMMYFUNCTION("""COMPUTED_VALUE"""),12)</f>
        <v>12</v>
      </c>
      <c r="M8" s="23">
        <f ca="1">IFERROR(__xludf.DUMMYFUNCTION("""COMPUTED_VALUE"""),0)</f>
        <v>0</v>
      </c>
      <c r="N8" s="23">
        <f ca="1">IFERROR(__xludf.DUMMYFUNCTION("""COMPUTED_VALUE"""),0)</f>
        <v>0</v>
      </c>
      <c r="O8" s="23">
        <f ca="1">IFERROR(__xludf.DUMMYFUNCTION("""COMPUTED_VALUE"""),0)</f>
        <v>0</v>
      </c>
      <c r="P8" s="23">
        <f ca="1">IFERROR(__xludf.DUMMYFUNCTION("""COMPUTED_VALUE"""),0)</f>
        <v>0</v>
      </c>
      <c r="Q8" s="23">
        <f ca="1">IFERROR(__xludf.DUMMYFUNCTION("""COMPUTED_VALUE"""),0)</f>
        <v>0</v>
      </c>
      <c r="R8" s="23">
        <f ca="1">IFERROR(__xludf.DUMMYFUNCTION("""COMPUTED_VALUE"""),0)</f>
        <v>0</v>
      </c>
      <c r="S8" s="23">
        <f ca="1">IFERROR(__xludf.DUMMYFUNCTION("""COMPUTED_VALUE"""),43)</f>
        <v>43</v>
      </c>
    </row>
    <row r="9" spans="1:19">
      <c r="A9" s="23" t="str">
        <f ca="1">IFERROR(__xludf.DUMMYFUNCTION("""COMPUTED_VALUE"""),"ORDENES DE INSPECCION")</f>
        <v>ORDENES DE INSPECCION</v>
      </c>
      <c r="B9" s="23">
        <f ca="1">IFERROR(__xludf.DUMMYFUNCTION("""COMPUTED_VALUE"""),1)</f>
        <v>1</v>
      </c>
      <c r="C9" s="23"/>
      <c r="D9" s="23" t="str">
        <f ca="1">IFERROR(__xludf.DUMMYFUNCTION("""COMPUTED_VALUE"""),"ASCENDENTE")</f>
        <v>ASCENDENTE</v>
      </c>
      <c r="E9" s="23" t="str">
        <f ca="1">IFERROR(__xludf.DUMMYFUNCTION("""COMPUTED_VALUE"""),"BITACORA OPERATIVA")</f>
        <v>BITACORA OPERATIVA</v>
      </c>
      <c r="F9" s="23">
        <f ca="1">IFERROR(__xludf.DUMMYFUNCTION("""COMPUTED_VALUE"""),0)</f>
        <v>0</v>
      </c>
      <c r="G9" s="23">
        <f ca="1">IFERROR(__xludf.DUMMYFUNCTION("""COMPUTED_VALUE"""),0)</f>
        <v>0</v>
      </c>
      <c r="H9" s="23">
        <f ca="1">IFERROR(__xludf.DUMMYFUNCTION("""COMPUTED_VALUE"""),0)</f>
        <v>0</v>
      </c>
      <c r="I9" s="23">
        <f ca="1">IFERROR(__xludf.DUMMYFUNCTION("""COMPUTED_VALUE"""),0)</f>
        <v>0</v>
      </c>
      <c r="J9" s="23">
        <f ca="1">IFERROR(__xludf.DUMMYFUNCTION("""COMPUTED_VALUE"""),52)</f>
        <v>52</v>
      </c>
      <c r="K9" s="23">
        <f ca="1">IFERROR(__xludf.DUMMYFUNCTION("""COMPUTED_VALUE"""),37)</f>
        <v>37</v>
      </c>
      <c r="L9" s="23">
        <f ca="1">IFERROR(__xludf.DUMMYFUNCTION("""COMPUTED_VALUE"""),37)</f>
        <v>37</v>
      </c>
      <c r="M9" s="23">
        <f ca="1">IFERROR(__xludf.DUMMYFUNCTION("""COMPUTED_VALUE"""),0)</f>
        <v>0</v>
      </c>
      <c r="N9" s="23">
        <f ca="1">IFERROR(__xludf.DUMMYFUNCTION("""COMPUTED_VALUE"""),0)</f>
        <v>0</v>
      </c>
      <c r="O9" s="23">
        <f ca="1">IFERROR(__xludf.DUMMYFUNCTION("""COMPUTED_VALUE"""),0)</f>
        <v>0</v>
      </c>
      <c r="P9" s="23">
        <f ca="1">IFERROR(__xludf.DUMMYFUNCTION("""COMPUTED_VALUE"""),0)</f>
        <v>0</v>
      </c>
      <c r="Q9" s="23">
        <f ca="1">IFERROR(__xludf.DUMMYFUNCTION("""COMPUTED_VALUE"""),0)</f>
        <v>0</v>
      </c>
      <c r="R9" s="23">
        <f ca="1">IFERROR(__xludf.DUMMYFUNCTION("""COMPUTED_VALUE"""),0)</f>
        <v>0</v>
      </c>
      <c r="S9" s="23">
        <f ca="1">IFERROR(__xludf.DUMMYFUNCTION("""COMPUTED_VALUE"""),126)</f>
        <v>126</v>
      </c>
    </row>
    <row r="10" spans="1:19">
      <c r="A10" s="23" t="str">
        <f ca="1">IFERROR(__xludf.DUMMYFUNCTION("""COMPUTED_VALUE"""),"SANCIONES")</f>
        <v>SANCIONES</v>
      </c>
      <c r="B10" s="23">
        <f ca="1">IFERROR(__xludf.DUMMYFUNCTION("""COMPUTED_VALUE"""),1)</f>
        <v>1</v>
      </c>
      <c r="C10" s="23"/>
      <c r="D10" s="23" t="str">
        <f ca="1">IFERROR(__xludf.DUMMYFUNCTION("""COMPUTED_VALUE"""),"ASCENDENTE")</f>
        <v>ASCENDENTE</v>
      </c>
      <c r="E10" s="23" t="str">
        <f ca="1">IFERROR(__xludf.DUMMYFUNCTION("""COMPUTED_VALUE"""),"BITACORA OPERATIVA")</f>
        <v>BITACORA OPERATIVA</v>
      </c>
      <c r="F10" s="23">
        <f ca="1">IFERROR(__xludf.DUMMYFUNCTION("""COMPUTED_VALUE"""),0)</f>
        <v>0</v>
      </c>
      <c r="G10" s="23">
        <f ca="1">IFERROR(__xludf.DUMMYFUNCTION("""COMPUTED_VALUE"""),0)</f>
        <v>0</v>
      </c>
      <c r="H10" s="23">
        <f ca="1">IFERROR(__xludf.DUMMYFUNCTION("""COMPUTED_VALUE"""),0)</f>
        <v>0</v>
      </c>
      <c r="I10" s="23">
        <f ca="1">IFERROR(__xludf.DUMMYFUNCTION("""COMPUTED_VALUE"""),0)</f>
        <v>0</v>
      </c>
      <c r="J10" s="23">
        <f ca="1">IFERROR(__xludf.DUMMYFUNCTION("""COMPUTED_VALUE"""),47)</f>
        <v>47</v>
      </c>
      <c r="K10" s="23">
        <f ca="1">IFERROR(__xludf.DUMMYFUNCTION("""COMPUTED_VALUE"""),40)</f>
        <v>40</v>
      </c>
      <c r="L10" s="23">
        <f ca="1">IFERROR(__xludf.DUMMYFUNCTION("""COMPUTED_VALUE"""),35)</f>
        <v>35</v>
      </c>
      <c r="M10" s="23">
        <f ca="1">IFERROR(__xludf.DUMMYFUNCTION("""COMPUTED_VALUE"""),0)</f>
        <v>0</v>
      </c>
      <c r="N10" s="23">
        <f ca="1">IFERROR(__xludf.DUMMYFUNCTION("""COMPUTED_VALUE"""),0)</f>
        <v>0</v>
      </c>
      <c r="O10" s="23">
        <f ca="1">IFERROR(__xludf.DUMMYFUNCTION("""COMPUTED_VALUE"""),0)</f>
        <v>0</v>
      </c>
      <c r="P10" s="23">
        <f ca="1">IFERROR(__xludf.DUMMYFUNCTION("""COMPUTED_VALUE"""),0)</f>
        <v>0</v>
      </c>
      <c r="Q10" s="23">
        <f ca="1">IFERROR(__xludf.DUMMYFUNCTION("""COMPUTED_VALUE"""),0)</f>
        <v>0</v>
      </c>
      <c r="R10" s="23">
        <f ca="1">IFERROR(__xludf.DUMMYFUNCTION("""COMPUTED_VALUE"""),0)</f>
        <v>0</v>
      </c>
      <c r="S10" s="23">
        <f ca="1">IFERROR(__xludf.DUMMYFUNCTION("""COMPUTED_VALUE"""),122)</f>
        <v>122</v>
      </c>
    </row>
    <row r="11" spans="1:19">
      <c r="A11" s="23" t="str">
        <f ca="1">IFERROR(__xludf.DUMMYFUNCTION("""COMPUTED_VALUE"""),"INSPECCIONES REALIZADAS")</f>
        <v>INSPECCIONES REALIZADAS</v>
      </c>
      <c r="B11" s="23">
        <f ca="1">IFERROR(__xludf.DUMMYFUNCTION("""COMPUTED_VALUE"""),1)</f>
        <v>1</v>
      </c>
      <c r="C11" s="23"/>
      <c r="D11" s="23" t="str">
        <f ca="1">IFERROR(__xludf.DUMMYFUNCTION("""COMPUTED_VALUE"""),"ASCENDENTE")</f>
        <v>ASCENDENTE</v>
      </c>
      <c r="E11" s="23" t="str">
        <f ca="1">IFERROR(__xludf.DUMMYFUNCTION("""COMPUTED_VALUE"""),"BITACORA OPERATIVA")</f>
        <v>BITACORA OPERATIVA</v>
      </c>
      <c r="F11" s="23">
        <f ca="1">IFERROR(__xludf.DUMMYFUNCTION("""COMPUTED_VALUE"""),0)</f>
        <v>0</v>
      </c>
      <c r="G11" s="23">
        <f ca="1">IFERROR(__xludf.DUMMYFUNCTION("""COMPUTED_VALUE"""),0)</f>
        <v>0</v>
      </c>
      <c r="H11" s="23">
        <f ca="1">IFERROR(__xludf.DUMMYFUNCTION("""COMPUTED_VALUE"""),0)</f>
        <v>0</v>
      </c>
      <c r="I11" s="23">
        <f ca="1">IFERROR(__xludf.DUMMYFUNCTION("""COMPUTED_VALUE"""),0)</f>
        <v>0</v>
      </c>
      <c r="J11" s="23">
        <f ca="1">IFERROR(__xludf.DUMMYFUNCTION("""COMPUTED_VALUE"""),0)</f>
        <v>0</v>
      </c>
      <c r="K11" s="23">
        <f ca="1">IFERROR(__xludf.DUMMYFUNCTION("""COMPUTED_VALUE"""),0)</f>
        <v>0</v>
      </c>
      <c r="L11" s="23">
        <f ca="1">IFERROR(__xludf.DUMMYFUNCTION("""COMPUTED_VALUE"""),1)</f>
        <v>1</v>
      </c>
      <c r="M11" s="23">
        <f ca="1">IFERROR(__xludf.DUMMYFUNCTION("""COMPUTED_VALUE"""),0)</f>
        <v>0</v>
      </c>
      <c r="N11" s="23">
        <f ca="1">IFERROR(__xludf.DUMMYFUNCTION("""COMPUTED_VALUE"""),0)</f>
        <v>0</v>
      </c>
      <c r="O11" s="23">
        <f ca="1">IFERROR(__xludf.DUMMYFUNCTION("""COMPUTED_VALUE"""),0)</f>
        <v>0</v>
      </c>
      <c r="P11" s="23">
        <f ca="1">IFERROR(__xludf.DUMMYFUNCTION("""COMPUTED_VALUE"""),0)</f>
        <v>0</v>
      </c>
      <c r="Q11" s="23">
        <f ca="1">IFERROR(__xludf.DUMMYFUNCTION("""COMPUTED_VALUE"""),0)</f>
        <v>0</v>
      </c>
      <c r="R11" s="23">
        <f ca="1">IFERROR(__xludf.DUMMYFUNCTION("""COMPUTED_VALUE"""),0)</f>
        <v>0</v>
      </c>
      <c r="S11" s="23">
        <f ca="1">IFERROR(__xludf.DUMMYFUNCTION("""COMPUTED_VALUE"""),1)</f>
        <v>1</v>
      </c>
    </row>
    <row r="12" spans="1:19">
      <c r="A12" s="23" t="str">
        <f ca="1">IFERROR(__xludf.DUMMYFUNCTION("""COMPUTED_VALUE"""),"DICTAMENES DE GIRO")</f>
        <v>DICTAMENES DE GIRO</v>
      </c>
      <c r="B12" s="23">
        <f ca="1">IFERROR(__xludf.DUMMYFUNCTION("""COMPUTED_VALUE"""),1)</f>
        <v>1</v>
      </c>
      <c r="C12" s="23"/>
      <c r="D12" s="23" t="str">
        <f ca="1">IFERROR(__xludf.DUMMYFUNCTION("""COMPUTED_VALUE"""),"ASCENDENTE")</f>
        <v>ASCENDENTE</v>
      </c>
      <c r="E12" s="23" t="str">
        <f ca="1">IFERROR(__xludf.DUMMYFUNCTION("""COMPUTED_VALUE"""),"BITACORA OPERATIVA")</f>
        <v>BITACORA OPERATIVA</v>
      </c>
      <c r="F12" s="23">
        <f ca="1">IFERROR(__xludf.DUMMYFUNCTION("""COMPUTED_VALUE"""),0)</f>
        <v>0</v>
      </c>
      <c r="G12" s="23">
        <f ca="1">IFERROR(__xludf.DUMMYFUNCTION("""COMPUTED_VALUE"""),0)</f>
        <v>0</v>
      </c>
      <c r="H12" s="23">
        <f ca="1">IFERROR(__xludf.DUMMYFUNCTION("""COMPUTED_VALUE"""),0)</f>
        <v>0</v>
      </c>
      <c r="I12" s="23">
        <f ca="1">IFERROR(__xludf.DUMMYFUNCTION("""COMPUTED_VALUE"""),0)</f>
        <v>0</v>
      </c>
      <c r="J12" s="23">
        <f ca="1">IFERROR(__xludf.DUMMYFUNCTION("""COMPUTED_VALUE"""),10)</f>
        <v>10</v>
      </c>
      <c r="K12" s="23">
        <f ca="1">IFERROR(__xludf.DUMMYFUNCTION("""COMPUTED_VALUE"""),15)</f>
        <v>15</v>
      </c>
      <c r="L12" s="23">
        <f ca="1">IFERROR(__xludf.DUMMYFUNCTION("""COMPUTED_VALUE"""),12)</f>
        <v>12</v>
      </c>
      <c r="M12" s="23">
        <f ca="1">IFERROR(__xludf.DUMMYFUNCTION("""COMPUTED_VALUE"""),0)</f>
        <v>0</v>
      </c>
      <c r="N12" s="23">
        <f ca="1">IFERROR(__xludf.DUMMYFUNCTION("""COMPUTED_VALUE"""),0)</f>
        <v>0</v>
      </c>
      <c r="O12" s="23">
        <f ca="1">IFERROR(__xludf.DUMMYFUNCTION("""COMPUTED_VALUE"""),0)</f>
        <v>0</v>
      </c>
      <c r="P12" s="23">
        <f ca="1">IFERROR(__xludf.DUMMYFUNCTION("""COMPUTED_VALUE"""),0)</f>
        <v>0</v>
      </c>
      <c r="Q12" s="23">
        <f ca="1">IFERROR(__xludf.DUMMYFUNCTION("""COMPUTED_VALUE"""),0)</f>
        <v>0</v>
      </c>
      <c r="R12" s="23">
        <f ca="1">IFERROR(__xludf.DUMMYFUNCTION("""COMPUTED_VALUE"""),0)</f>
        <v>0</v>
      </c>
      <c r="S12" s="23">
        <f ca="1">IFERROR(__xludf.DUMMYFUNCTION("""COMPUTED_VALUE"""),37)</f>
        <v>37</v>
      </c>
    </row>
    <row r="13" spans="1:19">
      <c r="A13" s="23" t="str">
        <f ca="1">IFERROR(__xludf.DUMMYFUNCTION("""COMPUTED_VALUE"""),"DICTAMENES DE EDIFICACION ")</f>
        <v xml:space="preserve">DICTAMENES DE EDIFICACION </v>
      </c>
      <c r="B13" s="23">
        <f ca="1">IFERROR(__xludf.DUMMYFUNCTION("""COMPUTED_VALUE"""),1)</f>
        <v>1</v>
      </c>
      <c r="C13" s="23"/>
      <c r="D13" s="23" t="str">
        <f ca="1">IFERROR(__xludf.DUMMYFUNCTION("""COMPUTED_VALUE"""),"ASCENDENTE")</f>
        <v>ASCENDENTE</v>
      </c>
      <c r="E13" s="23" t="str">
        <f ca="1">IFERROR(__xludf.DUMMYFUNCTION("""COMPUTED_VALUE"""),"BITACORA OPERATIVA")</f>
        <v>BITACORA OPERATIVA</v>
      </c>
      <c r="F13" s="23">
        <f ca="1">IFERROR(__xludf.DUMMYFUNCTION("""COMPUTED_VALUE"""),0)</f>
        <v>0</v>
      </c>
      <c r="G13" s="23">
        <f ca="1">IFERROR(__xludf.DUMMYFUNCTION("""COMPUTED_VALUE"""),0)</f>
        <v>0</v>
      </c>
      <c r="H13" s="23">
        <f ca="1">IFERROR(__xludf.DUMMYFUNCTION("""COMPUTED_VALUE"""),0)</f>
        <v>0</v>
      </c>
      <c r="I13" s="23">
        <f ca="1">IFERROR(__xludf.DUMMYFUNCTION("""COMPUTED_VALUE"""),0)</f>
        <v>0</v>
      </c>
      <c r="J13" s="23">
        <f ca="1">IFERROR(__xludf.DUMMYFUNCTION("""COMPUTED_VALUE"""),14)</f>
        <v>14</v>
      </c>
      <c r="K13" s="23">
        <f ca="1">IFERROR(__xludf.DUMMYFUNCTION("""COMPUTED_VALUE"""),18)</f>
        <v>18</v>
      </c>
      <c r="L13" s="23">
        <f ca="1">IFERROR(__xludf.DUMMYFUNCTION("""COMPUTED_VALUE"""),16)</f>
        <v>16</v>
      </c>
      <c r="M13" s="23">
        <f ca="1">IFERROR(__xludf.DUMMYFUNCTION("""COMPUTED_VALUE"""),0)</f>
        <v>0</v>
      </c>
      <c r="N13" s="23">
        <f ca="1">IFERROR(__xludf.DUMMYFUNCTION("""COMPUTED_VALUE"""),0)</f>
        <v>0</v>
      </c>
      <c r="O13" s="23">
        <f ca="1">IFERROR(__xludf.DUMMYFUNCTION("""COMPUTED_VALUE"""),0)</f>
        <v>0</v>
      </c>
      <c r="P13" s="23">
        <f ca="1">IFERROR(__xludf.DUMMYFUNCTION("""COMPUTED_VALUE"""),0)</f>
        <v>0</v>
      </c>
      <c r="Q13" s="23">
        <f ca="1">IFERROR(__xludf.DUMMYFUNCTION("""COMPUTED_VALUE"""),0)</f>
        <v>0</v>
      </c>
      <c r="R13" s="23">
        <f ca="1">IFERROR(__xludf.DUMMYFUNCTION("""COMPUTED_VALUE"""),0)</f>
        <v>0</v>
      </c>
      <c r="S13" s="23">
        <f ca="1">IFERROR(__xludf.DUMMYFUNCTION("""COMPUTED_VALUE"""),48)</f>
        <v>48</v>
      </c>
    </row>
    <row r="14" spans="1:19">
      <c r="A14" s="23" t="str">
        <f ca="1">IFERROR(__xludf.DUMMYFUNCTION("""COMPUTED_VALUE"""),"LICENCIAS DE NUMERO OFICIAL")</f>
        <v>LICENCIAS DE NUMERO OFICIAL</v>
      </c>
      <c r="B14" s="23">
        <f ca="1">IFERROR(__xludf.DUMMYFUNCTION("""COMPUTED_VALUE"""),1)</f>
        <v>1</v>
      </c>
      <c r="C14" s="23"/>
      <c r="D14" s="23" t="str">
        <f ca="1">IFERROR(__xludf.DUMMYFUNCTION("""COMPUTED_VALUE"""),"ASCENDENTE")</f>
        <v>ASCENDENTE</v>
      </c>
      <c r="E14" s="23" t="str">
        <f ca="1">IFERROR(__xludf.DUMMYFUNCTION("""COMPUTED_VALUE"""),"BITACORA OPERATIVA")</f>
        <v>BITACORA OPERATIVA</v>
      </c>
      <c r="F14" s="23">
        <f ca="1">IFERROR(__xludf.DUMMYFUNCTION("""COMPUTED_VALUE"""),0)</f>
        <v>0</v>
      </c>
      <c r="G14" s="23">
        <f ca="1">IFERROR(__xludf.DUMMYFUNCTION("""COMPUTED_VALUE"""),0)</f>
        <v>0</v>
      </c>
      <c r="H14" s="23">
        <f ca="1">IFERROR(__xludf.DUMMYFUNCTION("""COMPUTED_VALUE"""),0)</f>
        <v>0</v>
      </c>
      <c r="I14" s="23">
        <f ca="1">IFERROR(__xludf.DUMMYFUNCTION("""COMPUTED_VALUE"""),0)</f>
        <v>0</v>
      </c>
      <c r="J14" s="23">
        <f ca="1">IFERROR(__xludf.DUMMYFUNCTION("""COMPUTED_VALUE"""),2)</f>
        <v>2</v>
      </c>
      <c r="K14" s="23">
        <f ca="1">IFERROR(__xludf.DUMMYFUNCTION("""COMPUTED_VALUE"""),11)</f>
        <v>11</v>
      </c>
      <c r="L14" s="23">
        <f ca="1">IFERROR(__xludf.DUMMYFUNCTION("""COMPUTED_VALUE"""),13)</f>
        <v>13</v>
      </c>
      <c r="M14" s="23">
        <f ca="1">IFERROR(__xludf.DUMMYFUNCTION("""COMPUTED_VALUE"""),0)</f>
        <v>0</v>
      </c>
      <c r="N14" s="23">
        <f ca="1">IFERROR(__xludf.DUMMYFUNCTION("""COMPUTED_VALUE"""),0)</f>
        <v>0</v>
      </c>
      <c r="O14" s="23">
        <f ca="1">IFERROR(__xludf.DUMMYFUNCTION("""COMPUTED_VALUE"""),0)</f>
        <v>0</v>
      </c>
      <c r="P14" s="23">
        <f ca="1">IFERROR(__xludf.DUMMYFUNCTION("""COMPUTED_VALUE"""),0)</f>
        <v>0</v>
      </c>
      <c r="Q14" s="23">
        <f ca="1">IFERROR(__xludf.DUMMYFUNCTION("""COMPUTED_VALUE"""),0)</f>
        <v>0</v>
      </c>
      <c r="R14" s="23">
        <f ca="1">IFERROR(__xludf.DUMMYFUNCTION("""COMPUTED_VALUE"""),0)</f>
        <v>0</v>
      </c>
      <c r="S14" s="23">
        <f ca="1">IFERROR(__xludf.DUMMYFUNCTION("""COMPUTED_VALUE"""),26)</f>
        <v>26</v>
      </c>
    </row>
    <row r="15" spans="1:19">
      <c r="A15" s="23" t="str">
        <f ca="1">IFERROR(__xludf.DUMMYFUNCTION("""COMPUTED_VALUE"""),"LICENCIA DE ALINEAMIENTO")</f>
        <v>LICENCIA DE ALINEAMIENTO</v>
      </c>
      <c r="B15" s="23">
        <f ca="1">IFERROR(__xludf.DUMMYFUNCTION("""COMPUTED_VALUE"""),1)</f>
        <v>1</v>
      </c>
      <c r="C15" s="23"/>
      <c r="D15" s="23" t="str">
        <f ca="1">IFERROR(__xludf.DUMMYFUNCTION("""COMPUTED_VALUE"""),"ASCENDENTE")</f>
        <v>ASCENDENTE</v>
      </c>
      <c r="E15" s="23" t="str">
        <f ca="1">IFERROR(__xludf.DUMMYFUNCTION("""COMPUTED_VALUE"""),"BITACORA OPERATIVA")</f>
        <v>BITACORA OPERATIVA</v>
      </c>
      <c r="F15" s="23">
        <f ca="1">IFERROR(__xludf.DUMMYFUNCTION("""COMPUTED_VALUE"""),0)</f>
        <v>0</v>
      </c>
      <c r="G15" s="23">
        <f ca="1">IFERROR(__xludf.DUMMYFUNCTION("""COMPUTED_VALUE"""),0)</f>
        <v>0</v>
      </c>
      <c r="H15" s="23">
        <f ca="1">IFERROR(__xludf.DUMMYFUNCTION("""COMPUTED_VALUE"""),0)</f>
        <v>0</v>
      </c>
      <c r="I15" s="23">
        <f ca="1">IFERROR(__xludf.DUMMYFUNCTION("""COMPUTED_VALUE"""),0)</f>
        <v>0</v>
      </c>
      <c r="J15" s="23">
        <f ca="1">IFERROR(__xludf.DUMMYFUNCTION("""COMPUTED_VALUE"""),82)</f>
        <v>82</v>
      </c>
      <c r="K15" s="23">
        <f ca="1">IFERROR(__xludf.DUMMYFUNCTION("""COMPUTED_VALUE"""),80)</f>
        <v>80</v>
      </c>
      <c r="L15" s="23">
        <f ca="1">IFERROR(__xludf.DUMMYFUNCTION("""COMPUTED_VALUE"""),54)</f>
        <v>54</v>
      </c>
      <c r="M15" s="23">
        <f ca="1">IFERROR(__xludf.DUMMYFUNCTION("""COMPUTED_VALUE"""),0)</f>
        <v>0</v>
      </c>
      <c r="N15" s="23">
        <f ca="1">IFERROR(__xludf.DUMMYFUNCTION("""COMPUTED_VALUE"""),0)</f>
        <v>0</v>
      </c>
      <c r="O15" s="23">
        <f ca="1">IFERROR(__xludf.DUMMYFUNCTION("""COMPUTED_VALUE"""),0)</f>
        <v>0</v>
      </c>
      <c r="P15" s="23">
        <f ca="1">IFERROR(__xludf.DUMMYFUNCTION("""COMPUTED_VALUE"""),0)</f>
        <v>0</v>
      </c>
      <c r="Q15" s="23">
        <f ca="1">IFERROR(__xludf.DUMMYFUNCTION("""COMPUTED_VALUE"""),0)</f>
        <v>0</v>
      </c>
      <c r="R15" s="23">
        <f ca="1">IFERROR(__xludf.DUMMYFUNCTION("""COMPUTED_VALUE"""),0)</f>
        <v>0</v>
      </c>
      <c r="S15" s="23">
        <f ca="1">IFERROR(__xludf.DUMMYFUNCTION("""COMPUTED_VALUE"""),216)</f>
        <v>216</v>
      </c>
    </row>
    <row r="16" spans="1:19">
      <c r="A16" s="23" t="str">
        <f ca="1">IFERROR(__xludf.DUMMYFUNCTION("""COMPUTED_VALUE"""),"LICENCIA DE EDIFICACION")</f>
        <v>LICENCIA DE EDIFICACION</v>
      </c>
      <c r="B16" s="23">
        <f ca="1">IFERROR(__xludf.DUMMYFUNCTION("""COMPUTED_VALUE"""),1)</f>
        <v>1</v>
      </c>
      <c r="C16" s="23"/>
      <c r="D16" s="23" t="str">
        <f ca="1">IFERROR(__xludf.DUMMYFUNCTION("""COMPUTED_VALUE"""),"ASCENDENTE")</f>
        <v>ASCENDENTE</v>
      </c>
      <c r="E16" s="23" t="str">
        <f ca="1">IFERROR(__xludf.DUMMYFUNCTION("""COMPUTED_VALUE"""),"BITACORA OPERATIVA")</f>
        <v>BITACORA OPERATIVA</v>
      </c>
      <c r="F16" s="23">
        <f ca="1">IFERROR(__xludf.DUMMYFUNCTION("""COMPUTED_VALUE"""),0)</f>
        <v>0</v>
      </c>
      <c r="G16" s="23">
        <f ca="1">IFERROR(__xludf.DUMMYFUNCTION("""COMPUTED_VALUE"""),0)</f>
        <v>0</v>
      </c>
      <c r="H16" s="23">
        <f ca="1">IFERROR(__xludf.DUMMYFUNCTION("""COMPUTED_VALUE"""),0)</f>
        <v>0</v>
      </c>
      <c r="I16" s="23">
        <f ca="1">IFERROR(__xludf.DUMMYFUNCTION("""COMPUTED_VALUE"""),0)</f>
        <v>0</v>
      </c>
      <c r="J16" s="23">
        <f ca="1">IFERROR(__xludf.DUMMYFUNCTION("""COMPUTED_VALUE"""),51)</f>
        <v>51</v>
      </c>
      <c r="K16" s="23">
        <f ca="1">IFERROR(__xludf.DUMMYFUNCTION("""COMPUTED_VALUE"""),33)</f>
        <v>33</v>
      </c>
      <c r="L16" s="23">
        <f ca="1">IFERROR(__xludf.DUMMYFUNCTION("""COMPUTED_VALUE"""),33)</f>
        <v>33</v>
      </c>
      <c r="M16" s="23">
        <f ca="1">IFERROR(__xludf.DUMMYFUNCTION("""COMPUTED_VALUE"""),0)</f>
        <v>0</v>
      </c>
      <c r="N16" s="23">
        <f ca="1">IFERROR(__xludf.DUMMYFUNCTION("""COMPUTED_VALUE"""),0)</f>
        <v>0</v>
      </c>
      <c r="O16" s="23">
        <f ca="1">IFERROR(__xludf.DUMMYFUNCTION("""COMPUTED_VALUE"""),0)</f>
        <v>0</v>
      </c>
      <c r="P16" s="23">
        <f ca="1">IFERROR(__xludf.DUMMYFUNCTION("""COMPUTED_VALUE"""),0)</f>
        <v>0</v>
      </c>
      <c r="Q16" s="23">
        <f ca="1">IFERROR(__xludf.DUMMYFUNCTION("""COMPUTED_VALUE"""),0)</f>
        <v>0</v>
      </c>
      <c r="R16" s="23">
        <f ca="1">IFERROR(__xludf.DUMMYFUNCTION("""COMPUTED_VALUE"""),0)</f>
        <v>0</v>
      </c>
      <c r="S16" s="23">
        <f ca="1">IFERROR(__xludf.DUMMYFUNCTION("""COMPUTED_VALUE"""),117)</f>
        <v>117</v>
      </c>
    </row>
    <row r="17" spans="1:19">
      <c r="A17" s="23" t="str">
        <f ca="1">IFERROR(__xludf.DUMMYFUNCTION("""COMPUTED_VALUE"""),"LICENCIA DE URBANIZACION")</f>
        <v>LICENCIA DE URBANIZACION</v>
      </c>
      <c r="B17" s="23">
        <f ca="1">IFERROR(__xludf.DUMMYFUNCTION("""COMPUTED_VALUE"""),1)</f>
        <v>1</v>
      </c>
      <c r="C17" s="23"/>
      <c r="D17" s="23" t="str">
        <f ca="1">IFERROR(__xludf.DUMMYFUNCTION("""COMPUTED_VALUE"""),"ASCENDENTE")</f>
        <v>ASCENDENTE</v>
      </c>
      <c r="E17" s="23" t="str">
        <f ca="1">IFERROR(__xludf.DUMMYFUNCTION("""COMPUTED_VALUE"""),"BITACORA OPERATIVA")</f>
        <v>BITACORA OPERATIVA</v>
      </c>
      <c r="F17" s="23">
        <f ca="1">IFERROR(__xludf.DUMMYFUNCTION("""COMPUTED_VALUE"""),0)</f>
        <v>0</v>
      </c>
      <c r="G17" s="23">
        <f ca="1">IFERROR(__xludf.DUMMYFUNCTION("""COMPUTED_VALUE"""),0)</f>
        <v>0</v>
      </c>
      <c r="H17" s="23">
        <f ca="1">IFERROR(__xludf.DUMMYFUNCTION("""COMPUTED_VALUE"""),0)</f>
        <v>0</v>
      </c>
      <c r="I17" s="23">
        <f ca="1">IFERROR(__xludf.DUMMYFUNCTION("""COMPUTED_VALUE"""),0)</f>
        <v>0</v>
      </c>
      <c r="J17" s="23">
        <f ca="1">IFERROR(__xludf.DUMMYFUNCTION("""COMPUTED_VALUE"""),0)</f>
        <v>0</v>
      </c>
      <c r="K17" s="23">
        <f ca="1">IFERROR(__xludf.DUMMYFUNCTION("""COMPUTED_VALUE"""),0)</f>
        <v>0</v>
      </c>
      <c r="L17" s="23">
        <f ca="1">IFERROR(__xludf.DUMMYFUNCTION("""COMPUTED_VALUE"""),0)</f>
        <v>0</v>
      </c>
      <c r="M17" s="23">
        <f ca="1">IFERROR(__xludf.DUMMYFUNCTION("""COMPUTED_VALUE"""),0)</f>
        <v>0</v>
      </c>
      <c r="N17" s="23">
        <f ca="1">IFERROR(__xludf.DUMMYFUNCTION("""COMPUTED_VALUE"""),0)</f>
        <v>0</v>
      </c>
      <c r="O17" s="23">
        <f ca="1">IFERROR(__xludf.DUMMYFUNCTION("""COMPUTED_VALUE"""),0)</f>
        <v>0</v>
      </c>
      <c r="P17" s="23">
        <f ca="1">IFERROR(__xludf.DUMMYFUNCTION("""COMPUTED_VALUE"""),0)</f>
        <v>0</v>
      </c>
      <c r="Q17" s="23">
        <f ca="1">IFERROR(__xludf.DUMMYFUNCTION("""COMPUTED_VALUE"""),0)</f>
        <v>0</v>
      </c>
      <c r="R17" s="23">
        <f ca="1">IFERROR(__xludf.DUMMYFUNCTION("""COMPUTED_VALUE"""),0)</f>
        <v>0</v>
      </c>
      <c r="S17" s="23">
        <f ca="1">IFERROR(__xludf.DUMMYFUNCTION("""COMPUTED_VALUE"""),0)</f>
        <v>0</v>
      </c>
    </row>
    <row r="18" spans="1:19">
      <c r="A18" s="23" t="str">
        <f ca="1">IFERROR(__xludf.DUMMYFUNCTION("""COMPUTED_VALUE"""),"DICTAMEN BANCOS DE MATERIAL GEOLOGICO")</f>
        <v>DICTAMEN BANCOS DE MATERIAL GEOLOGICO</v>
      </c>
      <c r="B18" s="23">
        <f ca="1">IFERROR(__xludf.DUMMYFUNCTION("""COMPUTED_VALUE"""),1)</f>
        <v>1</v>
      </c>
      <c r="C18" s="23"/>
      <c r="D18" s="23" t="str">
        <f ca="1">IFERROR(__xludf.DUMMYFUNCTION("""COMPUTED_VALUE"""),"ASCENDENTE")</f>
        <v>ASCENDENTE</v>
      </c>
      <c r="E18" s="23" t="str">
        <f ca="1">IFERROR(__xludf.DUMMYFUNCTION("""COMPUTED_VALUE"""),"BITACORA OPERATIVA")</f>
        <v>BITACORA OPERATIVA</v>
      </c>
      <c r="F18" s="23">
        <f ca="1">IFERROR(__xludf.DUMMYFUNCTION("""COMPUTED_VALUE"""),0)</f>
        <v>0</v>
      </c>
      <c r="G18" s="23">
        <f ca="1">IFERROR(__xludf.DUMMYFUNCTION("""COMPUTED_VALUE"""),0)</f>
        <v>0</v>
      </c>
      <c r="H18" s="23">
        <f ca="1">IFERROR(__xludf.DUMMYFUNCTION("""COMPUTED_VALUE"""),0)</f>
        <v>0</v>
      </c>
      <c r="I18" s="23">
        <f ca="1">IFERROR(__xludf.DUMMYFUNCTION("""COMPUTED_VALUE"""),0)</f>
        <v>0</v>
      </c>
      <c r="J18" s="23">
        <f ca="1">IFERROR(__xludf.DUMMYFUNCTION("""COMPUTED_VALUE"""),0)</f>
        <v>0</v>
      </c>
      <c r="K18" s="23">
        <f ca="1">IFERROR(__xludf.DUMMYFUNCTION("""COMPUTED_VALUE"""),1)</f>
        <v>1</v>
      </c>
      <c r="L18" s="23">
        <f ca="1">IFERROR(__xludf.DUMMYFUNCTION("""COMPUTED_VALUE"""),2)</f>
        <v>2</v>
      </c>
      <c r="M18" s="23">
        <f ca="1">IFERROR(__xludf.DUMMYFUNCTION("""COMPUTED_VALUE"""),0)</f>
        <v>0</v>
      </c>
      <c r="N18" s="23">
        <f ca="1">IFERROR(__xludf.DUMMYFUNCTION("""COMPUTED_VALUE"""),0)</f>
        <v>0</v>
      </c>
      <c r="O18" s="23">
        <f ca="1">IFERROR(__xludf.DUMMYFUNCTION("""COMPUTED_VALUE"""),0)</f>
        <v>0</v>
      </c>
      <c r="P18" s="23">
        <f ca="1">IFERROR(__xludf.DUMMYFUNCTION("""COMPUTED_VALUE"""),0)</f>
        <v>0</v>
      </c>
      <c r="Q18" s="23">
        <f ca="1">IFERROR(__xludf.DUMMYFUNCTION("""COMPUTED_VALUE"""),0)</f>
        <v>0</v>
      </c>
      <c r="R18" s="23">
        <f ca="1">IFERROR(__xludf.DUMMYFUNCTION("""COMPUTED_VALUE"""),0)</f>
        <v>0</v>
      </c>
      <c r="S18" s="23">
        <f ca="1">IFERROR(__xludf.DUMMYFUNCTION("""COMPUTED_VALUE"""),3)</f>
        <v>3</v>
      </c>
    </row>
    <row r="19" spans="1:19">
      <c r="A19" s="23" t="str">
        <f ca="1">IFERROR(__xludf.DUMMYFUNCTION("""COMPUTED_VALUE"""),"MOVIMIENTOS DE TIERRA")</f>
        <v>MOVIMIENTOS DE TIERRA</v>
      </c>
      <c r="B19" s="23">
        <f ca="1">IFERROR(__xludf.DUMMYFUNCTION("""COMPUTED_VALUE"""),1)</f>
        <v>1</v>
      </c>
      <c r="C19" s="23"/>
      <c r="D19" s="23" t="str">
        <f ca="1">IFERROR(__xludf.DUMMYFUNCTION("""COMPUTED_VALUE"""),"ASCENDENTE")</f>
        <v>ASCENDENTE</v>
      </c>
      <c r="E19" s="23" t="str">
        <f ca="1">IFERROR(__xludf.DUMMYFUNCTION("""COMPUTED_VALUE"""),"BITACORA OPERATIVA")</f>
        <v>BITACORA OPERATIVA</v>
      </c>
      <c r="F19" s="23">
        <f ca="1">IFERROR(__xludf.DUMMYFUNCTION("""COMPUTED_VALUE"""),0)</f>
        <v>0</v>
      </c>
      <c r="G19" s="23">
        <f ca="1">IFERROR(__xludf.DUMMYFUNCTION("""COMPUTED_VALUE"""),0)</f>
        <v>0</v>
      </c>
      <c r="H19" s="23">
        <f ca="1">IFERROR(__xludf.DUMMYFUNCTION("""COMPUTED_VALUE"""),0)</f>
        <v>0</v>
      </c>
      <c r="I19" s="23">
        <f ca="1">IFERROR(__xludf.DUMMYFUNCTION("""COMPUTED_VALUE"""),0)</f>
        <v>0</v>
      </c>
      <c r="J19" s="23">
        <f ca="1">IFERROR(__xludf.DUMMYFUNCTION("""COMPUTED_VALUE"""),1)</f>
        <v>1</v>
      </c>
      <c r="K19" s="23">
        <f ca="1">IFERROR(__xludf.DUMMYFUNCTION("""COMPUTED_VALUE"""),0)</f>
        <v>0</v>
      </c>
      <c r="L19" s="23">
        <f ca="1">IFERROR(__xludf.DUMMYFUNCTION("""COMPUTED_VALUE"""),0)</f>
        <v>0</v>
      </c>
      <c r="M19" s="23">
        <f ca="1">IFERROR(__xludf.DUMMYFUNCTION("""COMPUTED_VALUE"""),0)</f>
        <v>0</v>
      </c>
      <c r="N19" s="23">
        <f ca="1">IFERROR(__xludf.DUMMYFUNCTION("""COMPUTED_VALUE"""),0)</f>
        <v>0</v>
      </c>
      <c r="O19" s="23">
        <f ca="1">IFERROR(__xludf.DUMMYFUNCTION("""COMPUTED_VALUE"""),0)</f>
        <v>0</v>
      </c>
      <c r="P19" s="23">
        <f ca="1">IFERROR(__xludf.DUMMYFUNCTION("""COMPUTED_VALUE"""),0)</f>
        <v>0</v>
      </c>
      <c r="Q19" s="23">
        <f ca="1">IFERROR(__xludf.DUMMYFUNCTION("""COMPUTED_VALUE"""),0)</f>
        <v>0</v>
      </c>
      <c r="R19" s="23">
        <f ca="1">IFERROR(__xludf.DUMMYFUNCTION("""COMPUTED_VALUE"""),0)</f>
        <v>0</v>
      </c>
      <c r="S19" s="23">
        <f ca="1">IFERROR(__xludf.DUMMYFUNCTION("""COMPUTED_VALUE"""),1)</f>
        <v>1</v>
      </c>
    </row>
    <row r="20" spans="1:19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</row>
    <row r="21" spans="1:19">
      <c r="A21" s="23"/>
      <c r="B21" s="23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</row>
    <row r="22" spans="1:19">
      <c r="A22" s="23"/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</row>
    <row r="23" spans="1:19">
      <c r="A23" s="23"/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</row>
    <row r="24" spans="1:19">
      <c r="A24" s="23"/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</row>
    <row r="25" spans="1:19">
      <c r="A25" s="23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</row>
    <row r="26" spans="1:19">
      <c r="A26" s="23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</row>
    <row r="27" spans="1:19">
      <c r="A27" s="23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</row>
    <row r="28" spans="1:19">
      <c r="A28" s="23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</row>
    <row r="29" spans="1:19">
      <c r="A29" s="23"/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</row>
    <row r="30" spans="1:19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</row>
    <row r="31" spans="1:19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</row>
    <row r="32" spans="1:19">
      <c r="A32" s="23"/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</row>
    <row r="33" spans="1:19">
      <c r="A33" s="23"/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</row>
    <row r="34" spans="1:19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</row>
    <row r="35" spans="1:19">
      <c r="A35" s="23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</row>
    <row r="36" spans="1:19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</row>
    <row r="37" spans="1:19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</row>
    <row r="38" spans="1:19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</row>
    <row r="39" spans="1:19">
      <c r="A39" s="23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</row>
    <row r="41" spans="1:19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</row>
    <row r="42" spans="1:19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</row>
    <row r="43" spans="1:19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</row>
    <row r="44" spans="1:19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</row>
    <row r="45" spans="1:19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</row>
    <row r="46" spans="1:19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</row>
    <row r="47" spans="1:19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</row>
    <row r="48" spans="1:19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</row>
    <row r="49" spans="1:19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</row>
    <row r="50" spans="1:19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</row>
    <row r="51" spans="1:19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</row>
    <row r="52" spans="1:19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</row>
    <row r="53" spans="1:19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</row>
    <row r="54" spans="1:19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</row>
    <row r="55" spans="1:19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</row>
    <row r="56" spans="1:19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</row>
    <row r="57" spans="1:19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</row>
    <row r="58" spans="1:19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</row>
    <row r="59" spans="1:19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</row>
    <row r="60" spans="1:19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</row>
    <row r="61" spans="1:19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</row>
    <row r="62" spans="1:19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</row>
    <row r="63" spans="1:19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</row>
    <row r="64" spans="1:19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</row>
    <row r="65" spans="1:19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</row>
    <row r="66" spans="1:19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</row>
    <row r="67" spans="1:19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</row>
    <row r="68" spans="1:19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</row>
    <row r="69" spans="1:19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</row>
    <row r="70" spans="1:19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</row>
    <row r="71" spans="1:19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</row>
    <row r="72" spans="1:19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</row>
    <row r="73" spans="1:19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</row>
    <row r="74" spans="1:19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</row>
    <row r="75" spans="1:19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</row>
    <row r="76" spans="1:19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</row>
    <row r="77" spans="1:19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</row>
    <row r="78" spans="1:19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</row>
    <row r="79" spans="1:19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</row>
    <row r="80" spans="1:19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</row>
    <row r="81" spans="1:19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</row>
    <row r="82" spans="1:19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</row>
    <row r="83" spans="1:19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</row>
    <row r="84" spans="1:19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</row>
    <row r="85" spans="1:19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</row>
    <row r="86" spans="1:19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</row>
    <row r="87" spans="1:19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</row>
    <row r="88" spans="1:19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</row>
    <row r="89" spans="1:19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</row>
    <row r="90" spans="1:19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</row>
    <row r="91" spans="1:19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</row>
    <row r="92" spans="1:19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</row>
    <row r="93" spans="1:19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</row>
    <row r="94" spans="1:19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</row>
    <row r="95" spans="1:19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</row>
    <row r="96" spans="1:19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</row>
    <row r="97" spans="1:19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</row>
    <row r="98" spans="1:19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</row>
    <row r="99" spans="1:19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</row>
    <row r="100" spans="1:19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</row>
    <row r="101" spans="1:19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</row>
    <row r="102" spans="1:19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</row>
    <row r="103" spans="1:19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</row>
    <row r="104" spans="1:19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</row>
    <row r="105" spans="1:19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</row>
    <row r="106" spans="1:19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</row>
    <row r="107" spans="1:19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</row>
    <row r="108" spans="1:19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</row>
    <row r="109" spans="1:19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</row>
    <row r="110" spans="1:19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</row>
    <row r="111" spans="1:19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</row>
    <row r="112" spans="1:19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</row>
    <row r="113" spans="1:19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</row>
    <row r="114" spans="1:19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</row>
    <row r="115" spans="1:19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</row>
    <row r="116" spans="1:19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</row>
    <row r="117" spans="1:19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</row>
    <row r="118" spans="1:19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</row>
    <row r="119" spans="1:19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</row>
    <row r="120" spans="1:19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</row>
    <row r="121" spans="1:19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</row>
    <row r="122" spans="1:19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</row>
    <row r="123" spans="1:19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</row>
    <row r="124" spans="1:19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</row>
    <row r="125" spans="1:19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</row>
    <row r="126" spans="1:19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</row>
    <row r="127" spans="1:19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</row>
    <row r="128" spans="1:19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</row>
    <row r="129" spans="1:19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</row>
    <row r="130" spans="1:19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</row>
    <row r="131" spans="1:19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</row>
    <row r="132" spans="1:19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</row>
    <row r="133" spans="1:19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</row>
    <row r="134" spans="1:19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</row>
    <row r="135" spans="1:19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</row>
    <row r="136" spans="1:19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</row>
    <row r="137" spans="1:19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</row>
    <row r="138" spans="1:19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</row>
    <row r="139" spans="1:19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</row>
    <row r="140" spans="1:19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</row>
    <row r="141" spans="1:19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</row>
    <row r="142" spans="1:19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</row>
    <row r="143" spans="1:19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</row>
    <row r="144" spans="1:19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</row>
    <row r="145" spans="1:19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</row>
    <row r="146" spans="1:19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</row>
    <row r="147" spans="1:19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</row>
    <row r="148" spans="1:19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</row>
    <row r="149" spans="1:19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</row>
    <row r="150" spans="1:19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</row>
    <row r="151" spans="1:19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</row>
    <row r="152" spans="1:19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</row>
    <row r="153" spans="1:19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</row>
    <row r="154" spans="1:19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</row>
    <row r="155" spans="1:19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</row>
    <row r="156" spans="1:19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</row>
    <row r="157" spans="1:19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</row>
    <row r="158" spans="1:19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</row>
    <row r="159" spans="1:19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</row>
    <row r="160" spans="1:19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</row>
    <row r="161" spans="1:19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</row>
    <row r="162" spans="1:19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</row>
    <row r="163" spans="1:19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</row>
    <row r="164" spans="1:19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</row>
    <row r="165" spans="1:19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</row>
    <row r="166" spans="1:19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</row>
    <row r="167" spans="1:19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</row>
    <row r="168" spans="1:19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</row>
    <row r="169" spans="1:19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</row>
    <row r="170" spans="1:19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</row>
    <row r="171" spans="1:19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</row>
    <row r="172" spans="1:19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</row>
    <row r="173" spans="1:19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</row>
    <row r="174" spans="1:19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</row>
    <row r="175" spans="1:19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</row>
    <row r="176" spans="1:19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</row>
    <row r="177" spans="1:19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</row>
    <row r="178" spans="1:19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</row>
    <row r="179" spans="1:19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</row>
    <row r="180" spans="1:19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</row>
    <row r="181" spans="1:19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</row>
    <row r="182" spans="1:19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</row>
    <row r="183" spans="1:19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</row>
    <row r="184" spans="1:19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</row>
    <row r="185" spans="1:19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</row>
    <row r="186" spans="1:19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</row>
    <row r="187" spans="1:19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</row>
    <row r="188" spans="1:19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</row>
    <row r="189" spans="1:19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</row>
    <row r="190" spans="1:19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</row>
    <row r="191" spans="1:19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</row>
    <row r="192" spans="1:19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</row>
    <row r="193" spans="1:19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</row>
    <row r="194" spans="1:19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</row>
    <row r="195" spans="1:19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</row>
    <row r="196" spans="1:19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</row>
    <row r="197" spans="1:19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</row>
    <row r="198" spans="1:19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</row>
    <row r="199" spans="1:19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</row>
    <row r="200" spans="1:19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</row>
    <row r="201" spans="1:19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</row>
    <row r="202" spans="1:19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</row>
    <row r="203" spans="1:19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</row>
    <row r="204" spans="1:19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</row>
    <row r="205" spans="1:19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</row>
    <row r="206" spans="1:19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</row>
    <row r="207" spans="1:19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</row>
    <row r="208" spans="1:19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</row>
    <row r="209" spans="1:19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</row>
    <row r="210" spans="1:19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</row>
    <row r="211" spans="1:19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</row>
    <row r="212" spans="1:19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</row>
    <row r="213" spans="1:19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</row>
    <row r="214" spans="1:19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</row>
    <row r="215" spans="1:19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</row>
    <row r="216" spans="1:19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</row>
    <row r="217" spans="1:19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</row>
    <row r="218" spans="1:19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</row>
    <row r="219" spans="1:19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</row>
    <row r="220" spans="1:19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</row>
    <row r="221" spans="1:19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</row>
    <row r="222" spans="1:19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</row>
    <row r="223" spans="1:19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</row>
    <row r="224" spans="1:19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</row>
    <row r="225" spans="1:19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</row>
    <row r="226" spans="1:19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</row>
    <row r="227" spans="1:19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</row>
    <row r="228" spans="1:19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</row>
    <row r="229" spans="1:19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</row>
    <row r="230" spans="1:19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</row>
    <row r="231" spans="1:19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</row>
    <row r="232" spans="1:19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</row>
    <row r="233" spans="1:19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</row>
    <row r="234" spans="1:19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</row>
    <row r="235" spans="1:19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</row>
    <row r="236" spans="1:19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</row>
    <row r="237" spans="1:19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</row>
    <row r="238" spans="1:19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</row>
    <row r="239" spans="1:19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</row>
    <row r="240" spans="1:19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</row>
    <row r="241" spans="1:19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</row>
    <row r="242" spans="1:19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</row>
    <row r="243" spans="1:19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</row>
    <row r="244" spans="1:19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</row>
    <row r="245" spans="1:19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</row>
    <row r="246" spans="1:19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</row>
    <row r="247" spans="1:19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</row>
    <row r="248" spans="1:19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</row>
    <row r="249" spans="1:19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</row>
    <row r="250" spans="1:19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</row>
    <row r="251" spans="1:19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</row>
    <row r="252" spans="1:19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</row>
    <row r="253" spans="1:19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</row>
    <row r="254" spans="1:19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</row>
    <row r="255" spans="1:19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</row>
    <row r="256" spans="1:19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</row>
    <row r="257" spans="1:19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</row>
    <row r="258" spans="1:19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</row>
    <row r="259" spans="1:19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</row>
    <row r="260" spans="1:19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</row>
    <row r="261" spans="1:19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</row>
    <row r="262" spans="1:19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</row>
    <row r="263" spans="1:19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</row>
    <row r="264" spans="1:19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</row>
    <row r="265" spans="1:19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</row>
    <row r="266" spans="1:19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</row>
    <row r="267" spans="1:19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</row>
    <row r="268" spans="1:19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</row>
    <row r="269" spans="1:19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</row>
    <row r="270" spans="1:19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</row>
    <row r="271" spans="1:19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</row>
    <row r="272" spans="1:19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</row>
    <row r="273" spans="1:19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</row>
    <row r="274" spans="1:19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</row>
    <row r="275" spans="1:19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</row>
    <row r="276" spans="1:19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</row>
    <row r="277" spans="1:19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</row>
    <row r="278" spans="1:19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</row>
    <row r="279" spans="1:19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</row>
    <row r="280" spans="1:19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</row>
    <row r="281" spans="1:19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</row>
    <row r="282" spans="1:19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</row>
    <row r="283" spans="1:19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</row>
    <row r="284" spans="1:19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</row>
    <row r="285" spans="1:19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</row>
    <row r="286" spans="1:19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</row>
    <row r="287" spans="1:19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</row>
    <row r="288" spans="1:19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</row>
    <row r="289" spans="1:19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</row>
    <row r="290" spans="1:19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</row>
    <row r="291" spans="1:19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</row>
    <row r="292" spans="1:19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</row>
    <row r="293" spans="1:19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</row>
    <row r="294" spans="1:19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</row>
    <row r="295" spans="1:19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</row>
    <row r="296" spans="1:19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</row>
    <row r="297" spans="1:19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</row>
    <row r="298" spans="1:19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</row>
    <row r="299" spans="1:19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</row>
    <row r="300" spans="1:19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</row>
    <row r="301" spans="1:19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</row>
    <row r="302" spans="1:19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</row>
    <row r="303" spans="1:19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</row>
    <row r="304" spans="1:19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</row>
    <row r="305" spans="1:19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</row>
    <row r="306" spans="1:19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</row>
    <row r="307" spans="1:19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</row>
    <row r="308" spans="1:19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</row>
    <row r="309" spans="1:19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</row>
    <row r="310" spans="1:19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</row>
    <row r="311" spans="1:19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</row>
    <row r="312" spans="1:19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</row>
    <row r="313" spans="1:19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</row>
    <row r="314" spans="1:19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</row>
    <row r="315" spans="1:19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</row>
    <row r="316" spans="1:19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</row>
    <row r="317" spans="1:19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</row>
    <row r="318" spans="1:19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</row>
    <row r="319" spans="1:19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</row>
    <row r="320" spans="1:19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</row>
    <row r="321" spans="1:19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</row>
    <row r="322" spans="1:19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</row>
    <row r="323" spans="1:19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</row>
    <row r="324" spans="1:19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</row>
    <row r="325" spans="1:19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</row>
    <row r="326" spans="1:19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</row>
    <row r="327" spans="1:19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</row>
    <row r="328" spans="1:19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</row>
    <row r="329" spans="1:19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</row>
    <row r="330" spans="1:19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</row>
    <row r="331" spans="1:19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</row>
    <row r="332" spans="1:19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</row>
    <row r="333" spans="1:19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</row>
    <row r="334" spans="1:19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</row>
    <row r="335" spans="1:19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</row>
    <row r="336" spans="1:19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</row>
    <row r="337" spans="1:19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</row>
    <row r="338" spans="1:19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</row>
    <row r="339" spans="1:19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</row>
    <row r="340" spans="1:19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</row>
    <row r="341" spans="1:19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</row>
    <row r="342" spans="1:19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</row>
    <row r="343" spans="1:19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</row>
    <row r="344" spans="1:19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</row>
    <row r="345" spans="1:19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</row>
    <row r="346" spans="1:19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</row>
    <row r="347" spans="1:19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</row>
    <row r="348" spans="1:19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</row>
    <row r="349" spans="1:19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</row>
    <row r="350" spans="1:19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</row>
    <row r="351" spans="1:19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</row>
    <row r="352" spans="1:19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</row>
    <row r="353" spans="1:19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</row>
    <row r="354" spans="1:19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</row>
    <row r="355" spans="1:19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</row>
    <row r="356" spans="1:19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</row>
    <row r="357" spans="1:19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</row>
    <row r="358" spans="1:19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</row>
    <row r="359" spans="1:19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</row>
    <row r="360" spans="1:19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</row>
    <row r="361" spans="1:19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</row>
    <row r="362" spans="1:19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</row>
    <row r="363" spans="1:19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</row>
    <row r="364" spans="1:19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</row>
    <row r="365" spans="1:19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</row>
    <row r="366" spans="1:19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</row>
    <row r="367" spans="1:19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</row>
    <row r="368" spans="1:19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</row>
    <row r="369" spans="1:19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</row>
    <row r="370" spans="1:19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</row>
    <row r="371" spans="1:19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</row>
    <row r="372" spans="1:19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</row>
    <row r="373" spans="1:19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</row>
    <row r="374" spans="1:19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</row>
    <row r="375" spans="1:19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</row>
    <row r="376" spans="1:19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</row>
    <row r="377" spans="1:19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</row>
    <row r="378" spans="1:19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</row>
    <row r="379" spans="1:19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</row>
    <row r="380" spans="1:19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</row>
    <row r="381" spans="1:19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</row>
    <row r="382" spans="1:19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</row>
    <row r="383" spans="1:19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</row>
    <row r="384" spans="1:19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</row>
    <row r="385" spans="1:19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</row>
    <row r="386" spans="1:19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</row>
    <row r="387" spans="1:19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</row>
    <row r="388" spans="1:19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</row>
    <row r="389" spans="1:19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</row>
    <row r="390" spans="1:19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</row>
    <row r="391" spans="1:19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</row>
    <row r="392" spans="1:19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</row>
    <row r="393" spans="1:19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</row>
    <row r="394" spans="1:19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</row>
    <row r="395" spans="1:19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</row>
    <row r="396" spans="1:19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</row>
    <row r="397" spans="1:19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</row>
    <row r="398" spans="1:19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</row>
    <row r="399" spans="1:19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</row>
    <row r="400" spans="1:19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</row>
    <row r="401" spans="1:19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</row>
    <row r="402" spans="1:19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</row>
    <row r="403" spans="1:19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</row>
    <row r="404" spans="1:19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</row>
    <row r="405" spans="1:19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</row>
    <row r="406" spans="1:19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</row>
    <row r="407" spans="1:19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</row>
    <row r="408" spans="1:19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</row>
    <row r="409" spans="1:19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</row>
    <row r="410" spans="1:19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</row>
    <row r="411" spans="1:19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</row>
    <row r="412" spans="1:19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</row>
    <row r="413" spans="1:19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</row>
    <row r="414" spans="1:19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</row>
    <row r="415" spans="1:19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</row>
    <row r="416" spans="1:19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</row>
    <row r="417" spans="1:19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</row>
    <row r="418" spans="1:19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</row>
    <row r="419" spans="1:19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</row>
    <row r="420" spans="1:19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</row>
    <row r="421" spans="1:19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</row>
    <row r="422" spans="1:19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</row>
    <row r="423" spans="1:19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</row>
    <row r="424" spans="1:19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</row>
    <row r="425" spans="1:19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</row>
    <row r="426" spans="1:19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</row>
    <row r="427" spans="1:19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</row>
    <row r="428" spans="1:19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</row>
    <row r="429" spans="1:19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</row>
    <row r="430" spans="1:19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</row>
    <row r="431" spans="1:19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</row>
    <row r="432" spans="1:19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</row>
    <row r="433" spans="1:19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</row>
    <row r="434" spans="1:19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</row>
    <row r="435" spans="1:19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</row>
    <row r="436" spans="1:19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</row>
    <row r="437" spans="1:19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</row>
    <row r="438" spans="1:19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</row>
    <row r="439" spans="1:19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</row>
    <row r="440" spans="1:19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</row>
    <row r="441" spans="1:19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</row>
    <row r="442" spans="1:19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</row>
    <row r="443" spans="1:19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</row>
    <row r="444" spans="1:19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</row>
    <row r="445" spans="1:19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</row>
    <row r="446" spans="1:19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</row>
    <row r="447" spans="1:19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</row>
    <row r="448" spans="1:19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</row>
    <row r="449" spans="1:19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</row>
    <row r="450" spans="1:19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</row>
    <row r="451" spans="1:19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</row>
    <row r="452" spans="1:19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</row>
    <row r="453" spans="1:19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</row>
    <row r="454" spans="1:19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</row>
    <row r="455" spans="1:19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</row>
    <row r="456" spans="1:19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</row>
    <row r="457" spans="1:19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</row>
    <row r="458" spans="1:19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</row>
    <row r="459" spans="1:19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</row>
    <row r="460" spans="1:19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</row>
    <row r="461" spans="1:19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</row>
    <row r="462" spans="1:19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</row>
    <row r="463" spans="1:19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</row>
    <row r="464" spans="1:19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</row>
    <row r="465" spans="1:19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</row>
    <row r="466" spans="1:19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</row>
    <row r="467" spans="1:19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</row>
    <row r="468" spans="1:19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</row>
    <row r="469" spans="1:19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</row>
    <row r="470" spans="1:19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</row>
    <row r="471" spans="1:19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</row>
    <row r="472" spans="1:19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</row>
    <row r="473" spans="1:19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</row>
    <row r="474" spans="1:19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</row>
    <row r="475" spans="1:19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</row>
    <row r="476" spans="1:19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</row>
    <row r="477" spans="1:19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</row>
    <row r="478" spans="1:19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</row>
    <row r="479" spans="1:19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</row>
    <row r="480" spans="1:19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</row>
    <row r="481" spans="1:19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</row>
    <row r="482" spans="1:19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</row>
    <row r="483" spans="1:19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</row>
    <row r="484" spans="1:19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</row>
    <row r="485" spans="1:19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</row>
    <row r="486" spans="1:19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</row>
    <row r="487" spans="1:19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</row>
    <row r="488" spans="1:19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</row>
    <row r="489" spans="1:19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</row>
    <row r="490" spans="1:19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</row>
    <row r="491" spans="1:19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</row>
    <row r="492" spans="1:19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</row>
    <row r="493" spans="1:19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</row>
    <row r="494" spans="1:19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</row>
    <row r="495" spans="1:19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</row>
    <row r="496" spans="1:19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</row>
    <row r="497" spans="1:19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</row>
    <row r="498" spans="1:19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</row>
    <row r="499" spans="1:19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</row>
    <row r="500" spans="1:19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</row>
    <row r="501" spans="1:19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</row>
    <row r="502" spans="1:19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</row>
    <row r="503" spans="1:19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</row>
    <row r="504" spans="1:19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</row>
    <row r="505" spans="1:19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</row>
    <row r="506" spans="1:19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</row>
    <row r="507" spans="1:19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</row>
    <row r="508" spans="1:19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</row>
    <row r="509" spans="1:19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</row>
    <row r="510" spans="1:19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</row>
    <row r="511" spans="1:19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</row>
    <row r="512" spans="1:19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</row>
    <row r="513" spans="1:19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</row>
    <row r="514" spans="1:19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</row>
    <row r="515" spans="1:19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</row>
    <row r="516" spans="1:19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</row>
    <row r="517" spans="1:19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</row>
    <row r="518" spans="1:19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</row>
    <row r="519" spans="1:19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</row>
    <row r="520" spans="1:19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</row>
    <row r="521" spans="1:19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</row>
    <row r="522" spans="1:19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</row>
    <row r="523" spans="1:19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</row>
    <row r="524" spans="1:19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</row>
    <row r="525" spans="1:19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</row>
    <row r="526" spans="1:19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</row>
    <row r="527" spans="1:19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</row>
    <row r="528" spans="1:19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</row>
    <row r="529" spans="1:19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</row>
    <row r="530" spans="1:19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</row>
    <row r="531" spans="1:19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</row>
    <row r="532" spans="1:19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</row>
    <row r="533" spans="1:19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</row>
    <row r="534" spans="1:19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</row>
    <row r="535" spans="1:19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</row>
    <row r="536" spans="1:19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</row>
    <row r="537" spans="1:19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</row>
    <row r="538" spans="1:19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</row>
    <row r="539" spans="1:19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</row>
    <row r="540" spans="1:19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</row>
    <row r="541" spans="1:19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</row>
    <row r="542" spans="1:19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</row>
    <row r="543" spans="1:19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</row>
    <row r="544" spans="1:19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</row>
    <row r="545" spans="1:19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</row>
    <row r="546" spans="1:19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</row>
    <row r="547" spans="1:19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</row>
    <row r="548" spans="1:19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</row>
    <row r="549" spans="1:19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</row>
    <row r="550" spans="1:19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</row>
    <row r="551" spans="1:19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</row>
    <row r="552" spans="1:19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</row>
    <row r="553" spans="1:19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</row>
    <row r="554" spans="1:19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</row>
    <row r="555" spans="1:19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</row>
    <row r="556" spans="1:19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</row>
    <row r="557" spans="1:19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</row>
    <row r="558" spans="1:19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</row>
    <row r="559" spans="1:19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</row>
    <row r="560" spans="1:19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</row>
    <row r="561" spans="1:19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</row>
    <row r="562" spans="1:19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</row>
    <row r="563" spans="1:19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</row>
    <row r="564" spans="1:19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</row>
    <row r="565" spans="1:19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</row>
    <row r="566" spans="1:19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</row>
    <row r="567" spans="1:19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</row>
    <row r="568" spans="1:19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</row>
    <row r="569" spans="1:19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</row>
    <row r="570" spans="1:19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</row>
    <row r="571" spans="1:19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</row>
    <row r="572" spans="1:19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</row>
    <row r="573" spans="1:19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</row>
    <row r="574" spans="1:19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</row>
    <row r="575" spans="1:19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</row>
    <row r="576" spans="1:19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</row>
    <row r="577" spans="1:19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</row>
    <row r="578" spans="1:19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</row>
    <row r="579" spans="1:19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</row>
    <row r="580" spans="1:19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</row>
    <row r="581" spans="1:19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</row>
    <row r="582" spans="1:19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</row>
    <row r="583" spans="1:19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</row>
    <row r="584" spans="1:19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</row>
    <row r="585" spans="1:19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</row>
    <row r="586" spans="1:19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</row>
    <row r="587" spans="1:19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</row>
    <row r="588" spans="1:19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</row>
    <row r="589" spans="1:19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</row>
    <row r="590" spans="1:19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</row>
    <row r="591" spans="1:19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</row>
    <row r="592" spans="1:19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</row>
    <row r="593" spans="1:19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</row>
    <row r="594" spans="1:19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</row>
    <row r="595" spans="1:19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</row>
    <row r="596" spans="1:19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</row>
    <row r="597" spans="1:19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</row>
    <row r="598" spans="1:19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</row>
    <row r="599" spans="1:19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</row>
    <row r="600" spans="1:19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</row>
    <row r="601" spans="1:19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</row>
    <row r="602" spans="1:19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</row>
    <row r="603" spans="1:19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</row>
    <row r="604" spans="1:19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</row>
    <row r="605" spans="1:19">
      <c r="A605" s="23"/>
      <c r="B605" s="23"/>
      <c r="C605" s="23"/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</row>
    <row r="606" spans="1:19">
      <c r="A606" s="23"/>
      <c r="B606" s="23"/>
      <c r="C606" s="23"/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</row>
    <row r="607" spans="1:19">
      <c r="A607" s="23"/>
      <c r="B607" s="23"/>
      <c r="C607" s="23"/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</row>
    <row r="608" spans="1:19">
      <c r="A608" s="23"/>
      <c r="B608" s="23"/>
      <c r="C608" s="23"/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</row>
    <row r="609" spans="1:19">
      <c r="A609" s="23"/>
      <c r="B609" s="23"/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</row>
    <row r="610" spans="1:19">
      <c r="A610" s="23"/>
      <c r="B610" s="23"/>
      <c r="C610" s="23"/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</row>
    <row r="611" spans="1:19">
      <c r="A611" s="23"/>
      <c r="B611" s="23"/>
      <c r="C611" s="23"/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</row>
    <row r="612" spans="1:19">
      <c r="A612" s="23"/>
      <c r="B612" s="23"/>
      <c r="C612" s="23"/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</row>
    <row r="613" spans="1:19">
      <c r="A613" s="23"/>
      <c r="B613" s="23"/>
      <c r="C613" s="23"/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</row>
    <row r="614" spans="1:19">
      <c r="A614" s="23"/>
      <c r="B614" s="23"/>
      <c r="C614" s="23"/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</row>
    <row r="615" spans="1:19">
      <c r="A615" s="23"/>
      <c r="B615" s="23"/>
      <c r="C615" s="23"/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</row>
    <row r="616" spans="1:19">
      <c r="A616" s="23"/>
      <c r="B616" s="23"/>
      <c r="C616" s="23"/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</row>
    <row r="617" spans="1:19">
      <c r="A617" s="23"/>
      <c r="B617" s="23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</row>
    <row r="618" spans="1:19">
      <c r="A618" s="23"/>
      <c r="B618" s="23"/>
      <c r="C618" s="23"/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</row>
    <row r="619" spans="1:19">
      <c r="A619" s="23"/>
      <c r="B619" s="23"/>
      <c r="C619" s="23"/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</row>
    <row r="620" spans="1:19">
      <c r="A620" s="23"/>
      <c r="B620" s="23"/>
      <c r="C620" s="23"/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</row>
    <row r="621" spans="1:19">
      <c r="A621" s="23"/>
      <c r="B621" s="23"/>
      <c r="C621" s="23"/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</row>
    <row r="622" spans="1:19">
      <c r="A622" s="23"/>
      <c r="B622" s="23"/>
      <c r="C622" s="23"/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</row>
    <row r="623" spans="1:19">
      <c r="A623" s="23"/>
      <c r="B623" s="23"/>
      <c r="C623" s="23"/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</row>
    <row r="624" spans="1:19">
      <c r="A624" s="23"/>
      <c r="B624" s="23"/>
      <c r="C624" s="23"/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</row>
    <row r="625" spans="1:19">
      <c r="A625" s="23"/>
      <c r="B625" s="23"/>
      <c r="C625" s="23"/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</row>
    <row r="626" spans="1:19">
      <c r="A626" s="23"/>
      <c r="B626" s="23"/>
      <c r="C626" s="23"/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</row>
    <row r="627" spans="1:19">
      <c r="A627" s="23"/>
      <c r="B627" s="23"/>
      <c r="C627" s="23"/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</row>
    <row r="628" spans="1:19">
      <c r="A628" s="23"/>
      <c r="B628" s="23"/>
      <c r="C628" s="23"/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</row>
    <row r="629" spans="1:19">
      <c r="A629" s="23"/>
      <c r="B629" s="23"/>
      <c r="C629" s="23"/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</row>
    <row r="630" spans="1:19">
      <c r="A630" s="23"/>
      <c r="B630" s="23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</row>
    <row r="631" spans="1:19">
      <c r="A631" s="23"/>
      <c r="B631" s="23"/>
      <c r="C631" s="23"/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</row>
    <row r="632" spans="1:19">
      <c r="A632" s="23"/>
      <c r="B632" s="23"/>
      <c r="C632" s="23"/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</row>
    <row r="633" spans="1:19">
      <c r="A633" s="23"/>
      <c r="B633" s="23"/>
      <c r="C633" s="23"/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</row>
    <row r="634" spans="1:19">
      <c r="A634" s="23"/>
      <c r="B634" s="23"/>
      <c r="C634" s="23"/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</row>
    <row r="635" spans="1:19">
      <c r="A635" s="23"/>
      <c r="B635" s="23"/>
      <c r="C635" s="23"/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</row>
    <row r="636" spans="1:19">
      <c r="A636" s="23"/>
      <c r="B636" s="23"/>
      <c r="C636" s="23"/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</row>
    <row r="637" spans="1:19">
      <c r="A637" s="23"/>
      <c r="B637" s="23"/>
      <c r="C637" s="23"/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</row>
    <row r="638" spans="1:19">
      <c r="A638" s="23"/>
      <c r="B638" s="23"/>
      <c r="C638" s="23"/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</row>
    <row r="639" spans="1:19">
      <c r="A639" s="23"/>
      <c r="B639" s="23"/>
      <c r="C639" s="23"/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</row>
    <row r="640" spans="1:19">
      <c r="A640" s="23"/>
      <c r="B640" s="23"/>
      <c r="C640" s="23"/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</row>
    <row r="641" spans="1:19">
      <c r="A641" s="23"/>
      <c r="B641" s="23"/>
      <c r="C641" s="23"/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</row>
    <row r="642" spans="1:19">
      <c r="A642" s="23"/>
      <c r="B642" s="23"/>
      <c r="C642" s="23"/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</row>
    <row r="643" spans="1:19">
      <c r="A643" s="23"/>
      <c r="B643" s="23"/>
      <c r="C643" s="23"/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</row>
    <row r="644" spans="1:19">
      <c r="A644" s="23"/>
      <c r="B644" s="23"/>
      <c r="C644" s="23"/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</row>
    <row r="645" spans="1:19">
      <c r="A645" s="23"/>
      <c r="B645" s="23"/>
      <c r="C645" s="23"/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</row>
    <row r="646" spans="1:19">
      <c r="A646" s="23"/>
      <c r="B646" s="23"/>
      <c r="C646" s="23"/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</row>
    <row r="647" spans="1:19">
      <c r="A647" s="23"/>
      <c r="B647" s="23"/>
      <c r="C647" s="23"/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</row>
    <row r="648" spans="1:19">
      <c r="A648" s="23"/>
      <c r="B648" s="23"/>
      <c r="C648" s="23"/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</row>
    <row r="649" spans="1:19">
      <c r="A649" s="23"/>
      <c r="B649" s="23"/>
      <c r="C649" s="23"/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</row>
    <row r="650" spans="1:19">
      <c r="A650" s="23"/>
      <c r="B650" s="23"/>
      <c r="C650" s="23"/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</row>
    <row r="651" spans="1:19">
      <c r="A651" s="23"/>
      <c r="B651" s="23"/>
      <c r="C651" s="23"/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</row>
    <row r="652" spans="1:19">
      <c r="A652" s="23"/>
      <c r="B652" s="23"/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</row>
    <row r="653" spans="1:19">
      <c r="A653" s="23"/>
      <c r="B653" s="23"/>
      <c r="C653" s="23"/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</row>
    <row r="654" spans="1:19">
      <c r="A654" s="23"/>
      <c r="B654" s="23"/>
      <c r="C654" s="23"/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</row>
    <row r="655" spans="1:19">
      <c r="A655" s="23"/>
      <c r="B655" s="23"/>
      <c r="C655" s="23"/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</row>
    <row r="656" spans="1:19">
      <c r="A656" s="23"/>
      <c r="B656" s="23"/>
      <c r="C656" s="23"/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</row>
    <row r="657" spans="1:19">
      <c r="A657" s="23"/>
      <c r="B657" s="23"/>
      <c r="C657" s="23"/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</row>
    <row r="658" spans="1:19">
      <c r="A658" s="23"/>
      <c r="B658" s="23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</row>
    <row r="659" spans="1:19">
      <c r="A659" s="23"/>
      <c r="B659" s="23"/>
      <c r="C659" s="23"/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</row>
    <row r="660" spans="1:19">
      <c r="A660" s="23"/>
      <c r="B660" s="23"/>
      <c r="C660" s="23"/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</row>
    <row r="661" spans="1:19">
      <c r="A661" s="23"/>
      <c r="B661" s="23"/>
      <c r="C661" s="23"/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</row>
    <row r="662" spans="1:19">
      <c r="A662" s="23"/>
      <c r="B662" s="23"/>
      <c r="C662" s="23"/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</row>
    <row r="663" spans="1:19">
      <c r="A663" s="23"/>
      <c r="B663" s="23"/>
      <c r="C663" s="23"/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</row>
    <row r="664" spans="1:19">
      <c r="A664" s="23"/>
      <c r="B664" s="23"/>
      <c r="C664" s="23"/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</row>
    <row r="665" spans="1:19">
      <c r="A665" s="23"/>
      <c r="B665" s="23"/>
      <c r="C665" s="23"/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</row>
    <row r="666" spans="1:19">
      <c r="A666" s="23"/>
      <c r="B666" s="23"/>
      <c r="C666" s="23"/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</row>
    <row r="667" spans="1:19">
      <c r="A667" s="23"/>
      <c r="B667" s="23"/>
      <c r="C667" s="23"/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</row>
    <row r="668" spans="1:19">
      <c r="A668" s="23"/>
      <c r="B668" s="23"/>
      <c r="C668" s="23"/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</row>
    <row r="669" spans="1:19">
      <c r="A669" s="23"/>
      <c r="B669" s="23"/>
      <c r="C669" s="23"/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</row>
    <row r="670" spans="1:19">
      <c r="A670" s="23"/>
      <c r="B670" s="23"/>
      <c r="C670" s="23"/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</row>
    <row r="671" spans="1:19">
      <c r="A671" s="23"/>
      <c r="B671" s="23"/>
      <c r="C671" s="23"/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</row>
    <row r="672" spans="1:19">
      <c r="A672" s="23"/>
      <c r="B672" s="23"/>
      <c r="C672" s="23"/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</row>
    <row r="673" spans="1:19">
      <c r="A673" s="23"/>
      <c r="B673" s="23"/>
      <c r="C673" s="23"/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</row>
    <row r="674" spans="1:19">
      <c r="A674" s="23"/>
      <c r="B674" s="23"/>
      <c r="C674" s="23"/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</row>
    <row r="675" spans="1:19">
      <c r="A675" s="23"/>
      <c r="B675" s="23"/>
      <c r="C675" s="23"/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</row>
    <row r="676" spans="1:19">
      <c r="A676" s="23"/>
      <c r="B676" s="23"/>
      <c r="C676" s="23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</row>
    <row r="677" spans="1:19">
      <c r="A677" s="23"/>
      <c r="B677" s="23"/>
      <c r="C677" s="23"/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</row>
    <row r="678" spans="1:19">
      <c r="A678" s="23"/>
      <c r="B678" s="23"/>
      <c r="C678" s="23"/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</row>
    <row r="679" spans="1:19">
      <c r="A679" s="23"/>
      <c r="B679" s="23"/>
      <c r="C679" s="23"/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</row>
    <row r="680" spans="1:19">
      <c r="A680" s="23"/>
      <c r="B680" s="23"/>
      <c r="C680" s="23"/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</row>
    <row r="681" spans="1:19">
      <c r="A681" s="23"/>
      <c r="B681" s="23"/>
      <c r="C681" s="23"/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</row>
    <row r="682" spans="1:19">
      <c r="A682" s="23"/>
      <c r="B682" s="23"/>
      <c r="C682" s="23"/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</row>
    <row r="683" spans="1:19">
      <c r="A683" s="23"/>
      <c r="B683" s="23"/>
      <c r="C683" s="23"/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</row>
    <row r="684" spans="1:19">
      <c r="A684" s="23"/>
      <c r="B684" s="23"/>
      <c r="C684" s="23"/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</row>
    <row r="685" spans="1:19">
      <c r="A685" s="23"/>
      <c r="B685" s="23"/>
      <c r="C685" s="23"/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</row>
    <row r="686" spans="1:19">
      <c r="A686" s="23"/>
      <c r="B686" s="23"/>
      <c r="C686" s="23"/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</row>
    <row r="687" spans="1:19">
      <c r="A687" s="23"/>
      <c r="B687" s="23"/>
      <c r="C687" s="23"/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</row>
    <row r="688" spans="1:19">
      <c r="A688" s="23"/>
      <c r="B688" s="23"/>
      <c r="C688" s="23"/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</row>
    <row r="689" spans="1:19">
      <c r="A689" s="23"/>
      <c r="B689" s="23"/>
      <c r="C689" s="23"/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</row>
    <row r="690" spans="1:19">
      <c r="A690" s="23"/>
      <c r="B690" s="23"/>
      <c r="C690" s="23"/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</row>
    <row r="691" spans="1:19">
      <c r="A691" s="23"/>
      <c r="B691" s="23"/>
      <c r="C691" s="23"/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</row>
    <row r="692" spans="1:19">
      <c r="A692" s="23"/>
      <c r="B692" s="23"/>
      <c r="C692" s="23"/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</row>
    <row r="693" spans="1:19">
      <c r="A693" s="23"/>
      <c r="B693" s="23"/>
      <c r="C693" s="23"/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</row>
    <row r="694" spans="1:19">
      <c r="A694" s="23"/>
      <c r="B694" s="23"/>
      <c r="C694" s="23"/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</row>
    <row r="695" spans="1:19">
      <c r="A695" s="23"/>
      <c r="B695" s="23"/>
      <c r="C695" s="23"/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</row>
    <row r="696" spans="1:19">
      <c r="A696" s="23"/>
      <c r="B696" s="23"/>
      <c r="C696" s="23"/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</row>
    <row r="697" spans="1:19">
      <c r="A697" s="23"/>
      <c r="B697" s="23"/>
      <c r="C697" s="23"/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</row>
    <row r="698" spans="1:19">
      <c r="A698" s="23"/>
      <c r="B698" s="23"/>
      <c r="C698" s="23"/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</row>
    <row r="699" spans="1:19">
      <c r="A699" s="23"/>
      <c r="B699" s="23"/>
      <c r="C699" s="23"/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</row>
    <row r="700" spans="1:19">
      <c r="A700" s="23"/>
      <c r="B700" s="23"/>
      <c r="C700" s="23"/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</row>
    <row r="701" spans="1:19">
      <c r="A701" s="23"/>
      <c r="B701" s="23"/>
      <c r="C701" s="23"/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</row>
    <row r="702" spans="1:19">
      <c r="A702" s="23"/>
      <c r="B702" s="23"/>
      <c r="C702" s="23"/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</row>
    <row r="703" spans="1:19">
      <c r="A703" s="23"/>
      <c r="B703" s="23"/>
      <c r="C703" s="23"/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</row>
    <row r="704" spans="1:19">
      <c r="A704" s="23"/>
      <c r="B704" s="23"/>
      <c r="C704" s="23"/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</row>
    <row r="705" spans="1:19">
      <c r="A705" s="23"/>
      <c r="B705" s="23"/>
      <c r="C705" s="23"/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</row>
    <row r="706" spans="1:19">
      <c r="A706" s="23"/>
      <c r="B706" s="23"/>
      <c r="C706" s="23"/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</row>
    <row r="707" spans="1:19">
      <c r="A707" s="23"/>
      <c r="B707" s="23"/>
      <c r="C707" s="23"/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</row>
    <row r="708" spans="1:19">
      <c r="A708" s="23"/>
      <c r="B708" s="23"/>
      <c r="C708" s="23"/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</row>
    <row r="709" spans="1:19">
      <c r="A709" s="23"/>
      <c r="B709" s="23"/>
      <c r="C709" s="23"/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</row>
    <row r="710" spans="1:19">
      <c r="A710" s="23"/>
      <c r="B710" s="23"/>
      <c r="C710" s="23"/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</row>
    <row r="711" spans="1:19">
      <c r="A711" s="23"/>
      <c r="B711" s="23"/>
      <c r="C711" s="23"/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</row>
    <row r="712" spans="1:19">
      <c r="A712" s="23"/>
      <c r="B712" s="23"/>
      <c r="C712" s="23"/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</row>
    <row r="713" spans="1:19">
      <c r="A713" s="23"/>
      <c r="B713" s="23"/>
      <c r="C713" s="23"/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</row>
    <row r="714" spans="1:19">
      <c r="A714" s="23"/>
      <c r="B714" s="23"/>
      <c r="C714" s="23"/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</row>
    <row r="715" spans="1:19">
      <c r="A715" s="23"/>
      <c r="B715" s="23"/>
      <c r="C715" s="23"/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</row>
    <row r="716" spans="1:19">
      <c r="A716" s="23"/>
      <c r="B716" s="23"/>
      <c r="C716" s="23"/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</row>
    <row r="717" spans="1:19">
      <c r="A717" s="23"/>
      <c r="B717" s="23"/>
      <c r="C717" s="23"/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</row>
    <row r="718" spans="1:19">
      <c r="A718" s="23"/>
      <c r="B718" s="23"/>
      <c r="C718" s="23"/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</row>
    <row r="719" spans="1:19">
      <c r="A719" s="23"/>
      <c r="B719" s="23"/>
      <c r="C719" s="23"/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</row>
    <row r="720" spans="1:19">
      <c r="A720" s="23"/>
      <c r="B720" s="23"/>
      <c r="C720" s="23"/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</row>
    <row r="721" spans="1:19">
      <c r="A721" s="23"/>
      <c r="B721" s="23"/>
      <c r="C721" s="23"/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</row>
    <row r="722" spans="1:19">
      <c r="A722" s="23"/>
      <c r="B722" s="23"/>
      <c r="C722" s="23"/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</row>
    <row r="723" spans="1:19">
      <c r="A723" s="23"/>
      <c r="B723" s="23"/>
      <c r="C723" s="23"/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</row>
    <row r="724" spans="1:19">
      <c r="A724" s="23"/>
      <c r="B724" s="23"/>
      <c r="C724" s="23"/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</row>
    <row r="725" spans="1:19">
      <c r="A725" s="23"/>
      <c r="B725" s="23"/>
      <c r="C725" s="23"/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</row>
    <row r="726" spans="1:19">
      <c r="A726" s="23"/>
      <c r="B726" s="23"/>
      <c r="C726" s="23"/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</row>
    <row r="727" spans="1:19">
      <c r="A727" s="23"/>
      <c r="B727" s="23"/>
      <c r="C727" s="23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</row>
    <row r="728" spans="1:19">
      <c r="A728" s="23"/>
      <c r="B728" s="23"/>
      <c r="C728" s="23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</row>
    <row r="729" spans="1:19">
      <c r="A729" s="23"/>
      <c r="B729" s="23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</row>
    <row r="730" spans="1:19">
      <c r="A730" s="23"/>
      <c r="B730" s="23"/>
      <c r="C730" s="23"/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</row>
    <row r="731" spans="1:19">
      <c r="A731" s="23"/>
      <c r="B731" s="23"/>
      <c r="C731" s="23"/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</row>
    <row r="732" spans="1:19">
      <c r="A732" s="23"/>
      <c r="B732" s="23"/>
      <c r="C732" s="23"/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</row>
    <row r="733" spans="1:19">
      <c r="A733" s="23"/>
      <c r="B733" s="23"/>
      <c r="C733" s="23"/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</row>
    <row r="734" spans="1:19">
      <c r="A734" s="23"/>
      <c r="B734" s="23"/>
      <c r="C734" s="23"/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</row>
    <row r="735" spans="1:19">
      <c r="A735" s="23"/>
      <c r="B735" s="23"/>
      <c r="C735" s="23"/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</row>
    <row r="736" spans="1:19">
      <c r="A736" s="23"/>
      <c r="B736" s="23"/>
      <c r="C736" s="23"/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</row>
    <row r="737" spans="1:19">
      <c r="A737" s="23"/>
      <c r="B737" s="23"/>
      <c r="C737" s="23"/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</row>
    <row r="738" spans="1:19">
      <c r="A738" s="23"/>
      <c r="B738" s="23"/>
      <c r="C738" s="23"/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</row>
    <row r="739" spans="1:19">
      <c r="A739" s="23"/>
      <c r="B739" s="23"/>
      <c r="C739" s="23"/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</row>
    <row r="740" spans="1:19">
      <c r="A740" s="23"/>
      <c r="B740" s="23"/>
      <c r="C740" s="23"/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</row>
    <row r="741" spans="1:19">
      <c r="A741" s="23"/>
      <c r="B741" s="23"/>
      <c r="C741" s="23"/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</row>
    <row r="742" spans="1:19">
      <c r="A742" s="23"/>
      <c r="B742" s="23"/>
      <c r="C742" s="23"/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</row>
    <row r="743" spans="1:19">
      <c r="A743" s="23"/>
      <c r="B743" s="23"/>
      <c r="C743" s="23"/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</row>
    <row r="744" spans="1:19">
      <c r="A744" s="23"/>
      <c r="B744" s="23"/>
      <c r="C744" s="23"/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</row>
    <row r="745" spans="1:19">
      <c r="A745" s="23"/>
      <c r="B745" s="23"/>
      <c r="C745" s="23"/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</row>
    <row r="746" spans="1:19">
      <c r="A746" s="23"/>
      <c r="B746" s="23"/>
      <c r="C746" s="23"/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</row>
    <row r="747" spans="1:19">
      <c r="A747" s="23"/>
      <c r="B747" s="23"/>
      <c r="C747" s="23"/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</row>
    <row r="748" spans="1:19">
      <c r="A748" s="23"/>
      <c r="B748" s="23"/>
      <c r="C748" s="23"/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</row>
    <row r="749" spans="1:19">
      <c r="A749" s="23"/>
      <c r="B749" s="23"/>
      <c r="C749" s="23"/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</row>
    <row r="750" spans="1:19">
      <c r="A750" s="23"/>
      <c r="B750" s="23"/>
      <c r="C750" s="23"/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</row>
    <row r="751" spans="1:19">
      <c r="A751" s="23"/>
      <c r="B751" s="23"/>
      <c r="C751" s="23"/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</row>
    <row r="752" spans="1:19">
      <c r="A752" s="23"/>
      <c r="B752" s="23"/>
      <c r="C752" s="23"/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</row>
    <row r="753" spans="1:19">
      <c r="A753" s="23"/>
      <c r="B753" s="23"/>
      <c r="C753" s="23"/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</row>
    <row r="754" spans="1:19">
      <c r="A754" s="23"/>
      <c r="B754" s="23"/>
      <c r="C754" s="23"/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</row>
    <row r="755" spans="1:19">
      <c r="A755" s="23"/>
      <c r="B755" s="23"/>
      <c r="C755" s="23"/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</row>
    <row r="756" spans="1:19">
      <c r="A756" s="23"/>
      <c r="B756" s="23"/>
      <c r="C756" s="23"/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</row>
    <row r="757" spans="1:19">
      <c r="A757" s="23"/>
      <c r="B757" s="23"/>
      <c r="C757" s="23"/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</row>
    <row r="758" spans="1:19">
      <c r="A758" s="23"/>
      <c r="B758" s="23"/>
      <c r="C758" s="23"/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</row>
    <row r="759" spans="1:19">
      <c r="A759" s="23"/>
      <c r="B759" s="23"/>
      <c r="C759" s="23"/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</row>
    <row r="760" spans="1:19">
      <c r="A760" s="23"/>
      <c r="B760" s="23"/>
      <c r="C760" s="23"/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</row>
    <row r="761" spans="1:19">
      <c r="A761" s="23"/>
      <c r="B761" s="23"/>
      <c r="C761" s="23"/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</row>
    <row r="762" spans="1:19">
      <c r="A762" s="23"/>
      <c r="B762" s="23"/>
      <c r="C762" s="23"/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</row>
    <row r="763" spans="1:19">
      <c r="A763" s="23"/>
      <c r="B763" s="23"/>
      <c r="C763" s="23"/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</row>
    <row r="764" spans="1:19">
      <c r="A764" s="23"/>
      <c r="B764" s="23"/>
      <c r="C764" s="23"/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</row>
    <row r="765" spans="1:19">
      <c r="A765" s="23"/>
      <c r="B765" s="23"/>
      <c r="C765" s="23"/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</row>
    <row r="766" spans="1:19">
      <c r="A766" s="23"/>
      <c r="B766" s="23"/>
      <c r="C766" s="23"/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</row>
    <row r="767" spans="1:19">
      <c r="A767" s="23"/>
      <c r="B767" s="23"/>
      <c r="C767" s="23"/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</row>
    <row r="768" spans="1:19">
      <c r="A768" s="23"/>
      <c r="B768" s="23"/>
      <c r="C768" s="23"/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</row>
    <row r="769" spans="1:19">
      <c r="A769" s="23"/>
      <c r="B769" s="23"/>
      <c r="C769" s="23"/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</row>
    <row r="770" spans="1:19">
      <c r="A770" s="23"/>
      <c r="B770" s="23"/>
      <c r="C770" s="23"/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</row>
    <row r="771" spans="1:19">
      <c r="A771" s="23"/>
      <c r="B771" s="23"/>
      <c r="C771" s="23"/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</row>
    <row r="772" spans="1:19">
      <c r="A772" s="23"/>
      <c r="B772" s="23"/>
      <c r="C772" s="23"/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</row>
    <row r="773" spans="1:19">
      <c r="A773" s="23"/>
      <c r="B773" s="23"/>
      <c r="C773" s="23"/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</row>
    <row r="774" spans="1:19">
      <c r="A774" s="23"/>
      <c r="B774" s="23"/>
      <c r="C774" s="23"/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</row>
    <row r="775" spans="1:19">
      <c r="A775" s="23"/>
      <c r="B775" s="23"/>
      <c r="C775" s="23"/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</row>
    <row r="776" spans="1:19">
      <c r="A776" s="23"/>
      <c r="B776" s="23"/>
      <c r="C776" s="23"/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</row>
    <row r="777" spans="1:19">
      <c r="A777" s="23"/>
      <c r="B777" s="23"/>
      <c r="C777" s="23"/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</row>
    <row r="778" spans="1:19">
      <c r="A778" s="23"/>
      <c r="B778" s="23"/>
      <c r="C778" s="23"/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</row>
    <row r="779" spans="1:19">
      <c r="A779" s="23"/>
      <c r="B779" s="23"/>
      <c r="C779" s="23"/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</row>
    <row r="780" spans="1:19">
      <c r="A780" s="23"/>
      <c r="B780" s="23"/>
      <c r="C780" s="23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</row>
    <row r="781" spans="1:19">
      <c r="A781" s="23"/>
      <c r="B781" s="23"/>
      <c r="C781" s="23"/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</row>
    <row r="782" spans="1:19">
      <c r="A782" s="23"/>
      <c r="B782" s="23"/>
      <c r="C782" s="23"/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</row>
    <row r="783" spans="1:19">
      <c r="A783" s="23"/>
      <c r="B783" s="23"/>
      <c r="C783" s="23"/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</row>
    <row r="784" spans="1:19">
      <c r="A784" s="23"/>
      <c r="B784" s="23"/>
      <c r="C784" s="23"/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</row>
    <row r="785" spans="1:19">
      <c r="A785" s="23"/>
      <c r="B785" s="23"/>
      <c r="C785" s="23"/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</row>
    <row r="786" spans="1:19">
      <c r="A786" s="23"/>
      <c r="B786" s="23"/>
      <c r="C786" s="23"/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</row>
    <row r="787" spans="1:19">
      <c r="A787" s="23"/>
      <c r="B787" s="23"/>
      <c r="C787" s="23"/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</row>
    <row r="788" spans="1:19">
      <c r="A788" s="23"/>
      <c r="B788" s="23"/>
      <c r="C788" s="23"/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</row>
    <row r="789" spans="1:19">
      <c r="A789" s="23"/>
      <c r="B789" s="23"/>
      <c r="C789" s="23"/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</row>
    <row r="790" spans="1:19">
      <c r="A790" s="23"/>
      <c r="B790" s="23"/>
      <c r="C790" s="23"/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</row>
    <row r="791" spans="1:19">
      <c r="A791" s="23"/>
      <c r="B791" s="23"/>
      <c r="C791" s="23"/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</row>
    <row r="792" spans="1:19">
      <c r="A792" s="23"/>
      <c r="B792" s="23"/>
      <c r="C792" s="23"/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</row>
    <row r="793" spans="1:19">
      <c r="A793" s="23"/>
      <c r="B793" s="23"/>
      <c r="C793" s="23"/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</row>
    <row r="794" spans="1:19">
      <c r="A794" s="23"/>
      <c r="B794" s="23"/>
      <c r="C794" s="23"/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</row>
    <row r="795" spans="1:19">
      <c r="A795" s="23"/>
      <c r="B795" s="23"/>
      <c r="C795" s="23"/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</row>
    <row r="796" spans="1:19">
      <c r="A796" s="23"/>
      <c r="B796" s="23"/>
      <c r="C796" s="23"/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</row>
    <row r="797" spans="1:19">
      <c r="A797" s="23"/>
      <c r="B797" s="23"/>
      <c r="C797" s="23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</row>
    <row r="798" spans="1:19">
      <c r="A798" s="23"/>
      <c r="B798" s="23"/>
      <c r="C798" s="23"/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</row>
    <row r="799" spans="1:19">
      <c r="A799" s="23"/>
      <c r="B799" s="23"/>
      <c r="C799" s="23"/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</row>
    <row r="800" spans="1:19">
      <c r="A800" s="23"/>
      <c r="B800" s="23"/>
      <c r="C800" s="23"/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</row>
    <row r="801" spans="1:19">
      <c r="A801" s="23"/>
      <c r="B801" s="23"/>
      <c r="C801" s="23"/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</row>
    <row r="802" spans="1:19">
      <c r="A802" s="23"/>
      <c r="B802" s="23"/>
      <c r="C802" s="23"/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</row>
    <row r="803" spans="1:19">
      <c r="A803" s="23"/>
      <c r="B803" s="23"/>
      <c r="C803" s="23"/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</row>
    <row r="804" spans="1:19">
      <c r="A804" s="23"/>
      <c r="B804" s="23"/>
      <c r="C804" s="23"/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</row>
    <row r="805" spans="1:19">
      <c r="A805" s="23"/>
      <c r="B805" s="23"/>
      <c r="C805" s="23"/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</row>
    <row r="806" spans="1:19">
      <c r="A806" s="23"/>
      <c r="B806" s="23"/>
      <c r="C806" s="23"/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</row>
    <row r="807" spans="1:19">
      <c r="A807" s="23"/>
      <c r="B807" s="23"/>
      <c r="C807" s="23"/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</row>
    <row r="808" spans="1:19">
      <c r="A808" s="23"/>
      <c r="B808" s="23"/>
      <c r="C808" s="23"/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</row>
    <row r="809" spans="1:19">
      <c r="A809" s="23"/>
      <c r="B809" s="23"/>
      <c r="C809" s="23"/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</row>
    <row r="810" spans="1:19">
      <c r="A810" s="23"/>
      <c r="B810" s="23"/>
      <c r="C810" s="23"/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</row>
    <row r="811" spans="1:19">
      <c r="A811" s="23"/>
      <c r="B811" s="23"/>
      <c r="C811" s="23"/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</row>
    <row r="812" spans="1:19">
      <c r="A812" s="23"/>
      <c r="B812" s="23"/>
      <c r="C812" s="23"/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</row>
    <row r="813" spans="1:19">
      <c r="A813" s="23"/>
      <c r="B813" s="23"/>
      <c r="C813" s="23"/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</row>
    <row r="814" spans="1:19">
      <c r="A814" s="23"/>
      <c r="B814" s="23"/>
      <c r="C814" s="23"/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</row>
    <row r="815" spans="1:19">
      <c r="A815" s="23"/>
      <c r="B815" s="23"/>
      <c r="C815" s="23"/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</row>
    <row r="816" spans="1:19">
      <c r="A816" s="23"/>
      <c r="B816" s="23"/>
      <c r="C816" s="23"/>
      <c r="D816" s="23"/>
      <c r="E816" s="23"/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</row>
    <row r="817" spans="1:19">
      <c r="A817" s="23"/>
      <c r="B817" s="23"/>
      <c r="C817" s="23"/>
      <c r="D817" s="23"/>
      <c r="E817" s="23"/>
      <c r="F817" s="23"/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</row>
    <row r="818" spans="1:19">
      <c r="A818" s="23"/>
      <c r="B818" s="23"/>
      <c r="C818" s="23"/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</row>
    <row r="819" spans="1:19">
      <c r="A819" s="23"/>
      <c r="B819" s="23"/>
      <c r="C819" s="23"/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</row>
    <row r="820" spans="1:19">
      <c r="A820" s="23"/>
      <c r="B820" s="23"/>
      <c r="C820" s="23"/>
      <c r="D820" s="23"/>
      <c r="E820" s="23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</row>
    <row r="821" spans="1:19">
      <c r="A821" s="23"/>
      <c r="B821" s="23"/>
      <c r="C821" s="23"/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</row>
    <row r="822" spans="1:19">
      <c r="A822" s="23"/>
      <c r="B822" s="23"/>
      <c r="C822" s="23"/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</row>
    <row r="823" spans="1:19">
      <c r="A823" s="23"/>
      <c r="B823" s="23"/>
      <c r="C823" s="23"/>
      <c r="D823" s="23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</row>
    <row r="824" spans="1:19">
      <c r="A824" s="23"/>
      <c r="B824" s="23"/>
      <c r="C824" s="23"/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</row>
    <row r="825" spans="1:19">
      <c r="A825" s="23"/>
      <c r="B825" s="23"/>
      <c r="C825" s="23"/>
      <c r="D825" s="23"/>
      <c r="E825" s="23"/>
      <c r="F825" s="23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</row>
    <row r="826" spans="1:19">
      <c r="A826" s="23"/>
      <c r="B826" s="23"/>
      <c r="C826" s="23"/>
      <c r="D826" s="23"/>
      <c r="E826" s="23"/>
      <c r="F826" s="23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</row>
    <row r="827" spans="1:19">
      <c r="A827" s="23"/>
      <c r="B827" s="23"/>
      <c r="C827" s="23"/>
      <c r="D827" s="23"/>
      <c r="E827" s="23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</row>
    <row r="828" spans="1:19">
      <c r="A828" s="23"/>
      <c r="B828" s="23"/>
      <c r="C828" s="23"/>
      <c r="D828" s="23"/>
      <c r="E828" s="23"/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</row>
    <row r="829" spans="1:19">
      <c r="A829" s="23"/>
      <c r="B829" s="23"/>
      <c r="C829" s="23"/>
      <c r="D829" s="23"/>
      <c r="E829" s="23"/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</row>
    <row r="830" spans="1:19">
      <c r="A830" s="23"/>
      <c r="B830" s="23"/>
      <c r="C830" s="23"/>
      <c r="D830" s="23"/>
      <c r="E830" s="23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</row>
    <row r="831" spans="1:19">
      <c r="A831" s="23"/>
      <c r="B831" s="23"/>
      <c r="C831" s="23"/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</row>
    <row r="832" spans="1:19">
      <c r="A832" s="23"/>
      <c r="B832" s="23"/>
      <c r="C832" s="23"/>
      <c r="D832" s="23"/>
      <c r="E832" s="23"/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</row>
    <row r="833" spans="1:19">
      <c r="A833" s="23"/>
      <c r="B833" s="23"/>
      <c r="C833" s="23"/>
      <c r="D833" s="23"/>
      <c r="E833" s="23"/>
      <c r="F833" s="23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</row>
    <row r="834" spans="1:19">
      <c r="A834" s="23"/>
      <c r="B834" s="23"/>
      <c r="C834" s="23"/>
      <c r="D834" s="23"/>
      <c r="E834" s="23"/>
      <c r="F834" s="23"/>
      <c r="G834" s="23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</row>
    <row r="835" spans="1:19">
      <c r="A835" s="23"/>
      <c r="B835" s="23"/>
      <c r="C835" s="23"/>
      <c r="D835" s="23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</row>
    <row r="836" spans="1:19">
      <c r="A836" s="23"/>
      <c r="B836" s="23"/>
      <c r="C836" s="23"/>
      <c r="D836" s="23"/>
      <c r="E836" s="23"/>
      <c r="F836" s="23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</row>
    <row r="837" spans="1:19">
      <c r="A837" s="23"/>
      <c r="B837" s="23"/>
      <c r="C837" s="23"/>
      <c r="D837" s="23"/>
      <c r="E837" s="23"/>
      <c r="F837" s="23"/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</row>
    <row r="838" spans="1:19">
      <c r="A838" s="23"/>
      <c r="B838" s="23"/>
      <c r="C838" s="23"/>
      <c r="D838" s="23"/>
      <c r="E838" s="23"/>
      <c r="F838" s="23"/>
      <c r="G838" s="23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</row>
    <row r="839" spans="1:19">
      <c r="A839" s="23"/>
      <c r="B839" s="23"/>
      <c r="C839" s="23"/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</row>
    <row r="840" spans="1:19">
      <c r="A840" s="23"/>
      <c r="B840" s="23"/>
      <c r="C840" s="23"/>
      <c r="D840" s="23"/>
      <c r="E840" s="23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</row>
    <row r="841" spans="1:19">
      <c r="A841" s="23"/>
      <c r="B841" s="23"/>
      <c r="C841" s="23"/>
      <c r="D841" s="23"/>
      <c r="E841" s="23"/>
      <c r="F841" s="23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</row>
    <row r="842" spans="1:19">
      <c r="A842" s="23"/>
      <c r="B842" s="23"/>
      <c r="C842" s="23"/>
      <c r="D842" s="23"/>
      <c r="E842" s="23"/>
      <c r="F842" s="23"/>
      <c r="G842" s="23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</row>
    <row r="843" spans="1:19">
      <c r="A843" s="23"/>
      <c r="B843" s="23"/>
      <c r="C843" s="23"/>
      <c r="D843" s="23"/>
      <c r="E843" s="23"/>
      <c r="F843" s="23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</row>
    <row r="844" spans="1:19">
      <c r="A844" s="23"/>
      <c r="B844" s="23"/>
      <c r="C844" s="23"/>
      <c r="D844" s="23"/>
      <c r="E844" s="23"/>
      <c r="F844" s="23"/>
      <c r="G844" s="23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</row>
    <row r="845" spans="1:19">
      <c r="A845" s="23"/>
      <c r="B845" s="23"/>
      <c r="C845" s="23"/>
      <c r="D845" s="23"/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</row>
    <row r="846" spans="1:19">
      <c r="A846" s="23"/>
      <c r="B846" s="23"/>
      <c r="C846" s="23"/>
      <c r="D846" s="23"/>
      <c r="E846" s="23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</row>
    <row r="847" spans="1:19">
      <c r="A847" s="23"/>
      <c r="B847" s="23"/>
      <c r="C847" s="23"/>
      <c r="D847" s="23"/>
      <c r="E847" s="23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</row>
    <row r="848" spans="1:19">
      <c r="A848" s="23"/>
      <c r="B848" s="23"/>
      <c r="C848" s="23"/>
      <c r="D848" s="23"/>
      <c r="E848" s="23"/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</row>
    <row r="849" spans="1:19">
      <c r="A849" s="23"/>
      <c r="B849" s="23"/>
      <c r="C849" s="23"/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</row>
    <row r="850" spans="1:19">
      <c r="A850" s="23"/>
      <c r="B850" s="23"/>
      <c r="C850" s="23"/>
      <c r="D850" s="23"/>
      <c r="E850" s="23"/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</row>
    <row r="851" spans="1:19">
      <c r="A851" s="23"/>
      <c r="B851" s="23"/>
      <c r="C851" s="23"/>
      <c r="D851" s="23"/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</row>
    <row r="852" spans="1:19">
      <c r="A852" s="23"/>
      <c r="B852" s="23"/>
      <c r="C852" s="23"/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</row>
    <row r="853" spans="1:19">
      <c r="A853" s="23"/>
      <c r="B853" s="23"/>
      <c r="C853" s="23"/>
      <c r="D853" s="23"/>
      <c r="E853" s="23"/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</row>
    <row r="854" spans="1:19">
      <c r="A854" s="23"/>
      <c r="B854" s="23"/>
      <c r="C854" s="23"/>
      <c r="D854" s="23"/>
      <c r="E854" s="23"/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</row>
    <row r="855" spans="1:19">
      <c r="A855" s="23"/>
      <c r="B855" s="23"/>
      <c r="C855" s="23"/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</row>
    <row r="856" spans="1:19">
      <c r="A856" s="23"/>
      <c r="B856" s="23"/>
      <c r="C856" s="23"/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</row>
    <row r="857" spans="1:19">
      <c r="A857" s="23"/>
      <c r="B857" s="23"/>
      <c r="C857" s="23"/>
      <c r="D857" s="23"/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</row>
    <row r="858" spans="1:19">
      <c r="A858" s="23"/>
      <c r="B858" s="23"/>
      <c r="C858" s="23"/>
      <c r="D858" s="23"/>
      <c r="E858" s="23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</row>
    <row r="859" spans="1:19">
      <c r="A859" s="23"/>
      <c r="B859" s="23"/>
      <c r="C859" s="23"/>
      <c r="D859" s="23"/>
      <c r="E859" s="23"/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</row>
    <row r="860" spans="1:19">
      <c r="A860" s="23"/>
      <c r="B860" s="23"/>
      <c r="C860" s="23"/>
      <c r="D860" s="23"/>
      <c r="E860" s="23"/>
      <c r="F860" s="23"/>
      <c r="G860" s="23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</row>
    <row r="861" spans="1:19">
      <c r="A861" s="23"/>
      <c r="B861" s="23"/>
      <c r="C861" s="23"/>
      <c r="D861" s="23"/>
      <c r="E861" s="23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</row>
    <row r="862" spans="1:19">
      <c r="A862" s="23"/>
      <c r="B862" s="23"/>
      <c r="C862" s="23"/>
      <c r="D862" s="23"/>
      <c r="E862" s="23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</row>
    <row r="863" spans="1:19">
      <c r="A863" s="23"/>
      <c r="B863" s="23"/>
      <c r="C863" s="23"/>
      <c r="D863" s="23"/>
      <c r="E863" s="23"/>
      <c r="F863" s="23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</row>
    <row r="864" spans="1:19">
      <c r="A864" s="23"/>
      <c r="B864" s="23"/>
      <c r="C864" s="23"/>
      <c r="D864" s="23"/>
      <c r="E864" s="23"/>
      <c r="F864" s="23"/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</row>
    <row r="865" spans="1:19">
      <c r="A865" s="23"/>
      <c r="B865" s="23"/>
      <c r="C865" s="23"/>
      <c r="D865" s="23"/>
      <c r="E865" s="23"/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</row>
    <row r="866" spans="1:19">
      <c r="A866" s="23"/>
      <c r="B866" s="23"/>
      <c r="C866" s="23"/>
      <c r="D866" s="23"/>
      <c r="E866" s="23"/>
      <c r="F866" s="23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</row>
    <row r="867" spans="1:19">
      <c r="A867" s="23"/>
      <c r="B867" s="23"/>
      <c r="C867" s="23"/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</row>
    <row r="868" spans="1:19">
      <c r="A868" s="23"/>
      <c r="B868" s="23"/>
      <c r="C868" s="23"/>
      <c r="D868" s="23"/>
      <c r="E868" s="23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</row>
    <row r="869" spans="1:19">
      <c r="A869" s="23"/>
      <c r="B869" s="23"/>
      <c r="C869" s="23"/>
      <c r="D869" s="23"/>
      <c r="E869" s="23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</row>
    <row r="870" spans="1:19">
      <c r="A870" s="23"/>
      <c r="B870" s="23"/>
      <c r="C870" s="23"/>
      <c r="D870" s="23"/>
      <c r="E870" s="23"/>
      <c r="F870" s="23"/>
      <c r="G870" s="23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</row>
    <row r="871" spans="1:19">
      <c r="A871" s="23"/>
      <c r="B871" s="23"/>
      <c r="C871" s="23"/>
      <c r="D871" s="23"/>
      <c r="E871" s="23"/>
      <c r="F871" s="23"/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</row>
    <row r="872" spans="1:19">
      <c r="A872" s="23"/>
      <c r="B872" s="23"/>
      <c r="C872" s="23"/>
      <c r="D872" s="23"/>
      <c r="E872" s="23"/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</row>
    <row r="873" spans="1:19">
      <c r="A873" s="23"/>
      <c r="B873" s="23"/>
      <c r="C873" s="23"/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</row>
    <row r="874" spans="1:19">
      <c r="A874" s="23"/>
      <c r="B874" s="23"/>
      <c r="C874" s="23"/>
      <c r="D874" s="23"/>
      <c r="E874" s="23"/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</row>
    <row r="875" spans="1:19">
      <c r="A875" s="23"/>
      <c r="B875" s="23"/>
      <c r="C875" s="23"/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</row>
    <row r="876" spans="1:19">
      <c r="A876" s="23"/>
      <c r="B876" s="23"/>
      <c r="C876" s="23"/>
      <c r="D876" s="23"/>
      <c r="E876" s="23"/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</row>
    <row r="877" spans="1:19">
      <c r="A877" s="23"/>
      <c r="B877" s="23"/>
      <c r="C877" s="23"/>
      <c r="D877" s="23"/>
      <c r="E877" s="23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</row>
    <row r="878" spans="1:19">
      <c r="A878" s="23"/>
      <c r="B878" s="23"/>
      <c r="C878" s="23"/>
      <c r="D878" s="23"/>
      <c r="E878" s="23"/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</row>
    <row r="879" spans="1:19">
      <c r="A879" s="23"/>
      <c r="B879" s="23"/>
      <c r="C879" s="23"/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</row>
    <row r="880" spans="1:19">
      <c r="A880" s="23"/>
      <c r="B880" s="23"/>
      <c r="C880" s="23"/>
      <c r="D880" s="23"/>
      <c r="E880" s="23"/>
      <c r="F880" s="23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</row>
    <row r="881" spans="1:19">
      <c r="A881" s="23"/>
      <c r="B881" s="23"/>
      <c r="C881" s="23"/>
      <c r="D881" s="23"/>
      <c r="E881" s="23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</row>
    <row r="882" spans="1:19">
      <c r="A882" s="23"/>
      <c r="B882" s="23"/>
      <c r="C882" s="23"/>
      <c r="D882" s="23"/>
      <c r="E882" s="23"/>
      <c r="F882" s="23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</row>
    <row r="883" spans="1:19">
      <c r="A883" s="23"/>
      <c r="B883" s="23"/>
      <c r="C883" s="23"/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</row>
    <row r="884" spans="1:19">
      <c r="A884" s="23"/>
      <c r="B884" s="23"/>
      <c r="C884" s="23"/>
      <c r="D884" s="23"/>
      <c r="E884" s="23"/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</row>
    <row r="885" spans="1:19">
      <c r="A885" s="23"/>
      <c r="B885" s="23"/>
      <c r="C885" s="23"/>
      <c r="D885" s="23"/>
      <c r="E885" s="23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</row>
    <row r="886" spans="1:19">
      <c r="A886" s="23"/>
      <c r="B886" s="23"/>
      <c r="C886" s="23"/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</row>
    <row r="887" spans="1:19">
      <c r="A887" s="23"/>
      <c r="B887" s="23"/>
      <c r="C887" s="23"/>
      <c r="D887" s="23"/>
      <c r="E887" s="23"/>
      <c r="F887" s="23"/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</row>
    <row r="888" spans="1:19">
      <c r="A888" s="23"/>
      <c r="B888" s="23"/>
      <c r="C888" s="23"/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</row>
    <row r="889" spans="1:19">
      <c r="A889" s="23"/>
      <c r="B889" s="23"/>
      <c r="C889" s="23"/>
      <c r="D889" s="23"/>
      <c r="E889" s="23"/>
      <c r="F889" s="23"/>
      <c r="G889" s="23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</row>
    <row r="890" spans="1:19">
      <c r="A890" s="23"/>
      <c r="B890" s="23"/>
      <c r="C890" s="23"/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</row>
    <row r="891" spans="1:19">
      <c r="A891" s="23"/>
      <c r="B891" s="23"/>
      <c r="C891" s="23"/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</row>
    <row r="892" spans="1:19">
      <c r="A892" s="23"/>
      <c r="B892" s="23"/>
      <c r="C892" s="23"/>
      <c r="D892" s="23"/>
      <c r="E892" s="23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</row>
    <row r="893" spans="1:19">
      <c r="A893" s="23"/>
      <c r="B893" s="23"/>
      <c r="C893" s="23"/>
      <c r="D893" s="23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</row>
    <row r="894" spans="1:19">
      <c r="A894" s="23"/>
      <c r="B894" s="23"/>
      <c r="C894" s="23"/>
      <c r="D894" s="23"/>
      <c r="E894" s="23"/>
      <c r="F894" s="23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</row>
    <row r="895" spans="1:19">
      <c r="A895" s="23"/>
      <c r="B895" s="23"/>
      <c r="C895" s="23"/>
      <c r="D895" s="23"/>
      <c r="E895" s="23"/>
      <c r="F895" s="23"/>
      <c r="G895" s="23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</row>
    <row r="896" spans="1:19">
      <c r="A896" s="23"/>
      <c r="B896" s="23"/>
      <c r="C896" s="23"/>
      <c r="D896" s="23"/>
      <c r="E896" s="23"/>
      <c r="F896" s="23"/>
      <c r="G896" s="23"/>
      <c r="H896" s="23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</row>
    <row r="897" spans="1:19">
      <c r="A897" s="23"/>
      <c r="B897" s="23"/>
      <c r="C897" s="23"/>
      <c r="D897" s="23"/>
      <c r="E897" s="23"/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</row>
    <row r="898" spans="1:19">
      <c r="A898" s="23"/>
      <c r="B898" s="23"/>
      <c r="C898" s="23"/>
      <c r="D898" s="23"/>
      <c r="E898" s="23"/>
      <c r="F898" s="23"/>
      <c r="G898" s="23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</row>
    <row r="899" spans="1:19">
      <c r="A899" s="23"/>
      <c r="B899" s="23"/>
      <c r="C899" s="23"/>
      <c r="D899" s="23"/>
      <c r="E899" s="23"/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</row>
    <row r="900" spans="1:19">
      <c r="A900" s="23"/>
      <c r="B900" s="23"/>
      <c r="C900" s="23"/>
      <c r="D900" s="23"/>
      <c r="E900" s="23"/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</row>
    <row r="901" spans="1:19">
      <c r="A901" s="23"/>
      <c r="B901" s="23"/>
      <c r="C901" s="23"/>
      <c r="D901" s="23"/>
      <c r="E901" s="23"/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</row>
    <row r="902" spans="1:19">
      <c r="A902" s="23"/>
      <c r="B902" s="23"/>
      <c r="C902" s="23"/>
      <c r="D902" s="23"/>
      <c r="E902" s="23"/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</row>
    <row r="903" spans="1:19">
      <c r="A903" s="23"/>
      <c r="B903" s="23"/>
      <c r="C903" s="23"/>
      <c r="D903" s="23"/>
      <c r="E903" s="23"/>
      <c r="F903" s="23"/>
      <c r="G903" s="23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</row>
    <row r="904" spans="1:19">
      <c r="A904" s="23"/>
      <c r="B904" s="23"/>
      <c r="C904" s="23"/>
      <c r="D904" s="23"/>
      <c r="E904" s="23"/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</row>
    <row r="905" spans="1:19">
      <c r="A905" s="23"/>
      <c r="B905" s="23"/>
      <c r="C905" s="23"/>
      <c r="D905" s="23"/>
      <c r="E905" s="23"/>
      <c r="F905" s="23"/>
      <c r="G905" s="23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</row>
    <row r="906" spans="1:19">
      <c r="A906" s="23"/>
      <c r="B906" s="23"/>
      <c r="C906" s="23"/>
      <c r="D906" s="23"/>
      <c r="E906" s="23"/>
      <c r="F906" s="23"/>
      <c r="G906" s="23"/>
      <c r="H906" s="23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</row>
    <row r="907" spans="1:19">
      <c r="A907" s="23"/>
      <c r="B907" s="23"/>
      <c r="C907" s="23"/>
      <c r="D907" s="23"/>
      <c r="E907" s="23"/>
      <c r="F907" s="23"/>
      <c r="G907" s="23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</row>
    <row r="908" spans="1:19">
      <c r="A908" s="23"/>
      <c r="B908" s="23"/>
      <c r="C908" s="23"/>
      <c r="D908" s="23"/>
      <c r="E908" s="23"/>
      <c r="F908" s="23"/>
      <c r="G908" s="23"/>
      <c r="H908" s="23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</row>
    <row r="909" spans="1:19">
      <c r="A909" s="23"/>
      <c r="B909" s="23"/>
      <c r="C909" s="23"/>
      <c r="D909" s="23"/>
      <c r="E909" s="23"/>
      <c r="F909" s="23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</row>
    <row r="910" spans="1:19">
      <c r="A910" s="23"/>
      <c r="B910" s="23"/>
      <c r="C910" s="23"/>
      <c r="D910" s="23"/>
      <c r="E910" s="23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</row>
    <row r="911" spans="1:19">
      <c r="A911" s="23"/>
      <c r="B911" s="23"/>
      <c r="C911" s="23"/>
      <c r="D911" s="23"/>
      <c r="E911" s="23"/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</row>
    <row r="912" spans="1:19">
      <c r="A912" s="23"/>
      <c r="B912" s="23"/>
      <c r="C912" s="23"/>
      <c r="D912" s="23"/>
      <c r="E912" s="23"/>
      <c r="F912" s="23"/>
      <c r="G912" s="23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</row>
    <row r="913" spans="1:19">
      <c r="A913" s="23"/>
      <c r="B913" s="23"/>
      <c r="C913" s="23"/>
      <c r="D913" s="23"/>
      <c r="E913" s="23"/>
      <c r="F913" s="23"/>
      <c r="G913" s="23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</row>
    <row r="914" spans="1:19">
      <c r="A914" s="23"/>
      <c r="B914" s="23"/>
      <c r="C914" s="23"/>
      <c r="D914" s="23"/>
      <c r="E914" s="23"/>
      <c r="F914" s="23"/>
      <c r="G914" s="23"/>
      <c r="H914" s="23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</row>
    <row r="915" spans="1:19">
      <c r="A915" s="23"/>
      <c r="B915" s="23"/>
      <c r="C915" s="23"/>
      <c r="D915" s="23"/>
      <c r="E915" s="23"/>
      <c r="F915" s="23"/>
      <c r="G915" s="23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</row>
    <row r="916" spans="1:19">
      <c r="A916" s="23"/>
      <c r="B916" s="23"/>
      <c r="C916" s="23"/>
      <c r="D916" s="23"/>
      <c r="E916" s="23"/>
      <c r="F916" s="23"/>
      <c r="G916" s="23"/>
      <c r="H916" s="23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</row>
    <row r="917" spans="1:19">
      <c r="A917" s="23"/>
      <c r="B917" s="23"/>
      <c r="C917" s="23"/>
      <c r="D917" s="23"/>
      <c r="E917" s="23"/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</row>
    <row r="918" spans="1:19">
      <c r="A918" s="23"/>
      <c r="B918" s="23"/>
      <c r="C918" s="23"/>
      <c r="D918" s="23"/>
      <c r="E918" s="23"/>
      <c r="F918" s="23"/>
      <c r="G918" s="23"/>
      <c r="H918" s="23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</row>
    <row r="919" spans="1:19">
      <c r="A919" s="23"/>
      <c r="B919" s="23"/>
      <c r="C919" s="23"/>
      <c r="D919" s="23"/>
      <c r="E919" s="23"/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</row>
    <row r="920" spans="1:19">
      <c r="A920" s="23"/>
      <c r="B920" s="23"/>
      <c r="C920" s="23"/>
      <c r="D920" s="23"/>
      <c r="E920" s="23"/>
      <c r="F920" s="23"/>
      <c r="G920" s="23"/>
      <c r="H920" s="23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</row>
    <row r="921" spans="1:19">
      <c r="A921" s="23"/>
      <c r="B921" s="23"/>
      <c r="C921" s="23"/>
      <c r="D921" s="23"/>
      <c r="E921" s="23"/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</row>
    <row r="922" spans="1:19">
      <c r="A922" s="23"/>
      <c r="B922" s="23"/>
      <c r="C922" s="23"/>
      <c r="D922" s="23"/>
      <c r="E922" s="23"/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</row>
    <row r="923" spans="1:19">
      <c r="A923" s="23"/>
      <c r="B923" s="23"/>
      <c r="C923" s="23"/>
      <c r="D923" s="23"/>
      <c r="E923" s="23"/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</row>
    <row r="924" spans="1:19">
      <c r="A924" s="23"/>
      <c r="B924" s="23"/>
      <c r="C924" s="23"/>
      <c r="D924" s="23"/>
      <c r="E924" s="23"/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</row>
    <row r="925" spans="1:19">
      <c r="A925" s="23"/>
      <c r="B925" s="23"/>
      <c r="C925" s="23"/>
      <c r="D925" s="23"/>
      <c r="E925" s="23"/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</row>
    <row r="926" spans="1:19">
      <c r="A926" s="23"/>
      <c r="B926" s="23"/>
      <c r="C926" s="23"/>
      <c r="D926" s="23"/>
      <c r="E926" s="23"/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</row>
    <row r="927" spans="1:19">
      <c r="A927" s="23"/>
      <c r="B927" s="23"/>
      <c r="C927" s="23"/>
      <c r="D927" s="23"/>
      <c r="E927" s="23"/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</row>
    <row r="928" spans="1:19">
      <c r="A928" s="23"/>
      <c r="B928" s="23"/>
      <c r="C928" s="23"/>
      <c r="D928" s="23"/>
      <c r="E928" s="23"/>
      <c r="F928" s="23"/>
      <c r="G928" s="23"/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</row>
    <row r="929" spans="1:19">
      <c r="A929" s="23"/>
      <c r="B929" s="23"/>
      <c r="C929" s="23"/>
      <c r="D929" s="23"/>
      <c r="E929" s="23"/>
      <c r="F929" s="23"/>
      <c r="G929" s="23"/>
      <c r="H929" s="23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</row>
    <row r="930" spans="1:19">
      <c r="A930" s="23"/>
      <c r="B930" s="23"/>
      <c r="C930" s="23"/>
      <c r="D930" s="23"/>
      <c r="E930" s="23"/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</row>
    <row r="931" spans="1:19">
      <c r="A931" s="23"/>
      <c r="B931" s="23"/>
      <c r="C931" s="23"/>
      <c r="D931" s="23"/>
      <c r="E931" s="23"/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</row>
    <row r="932" spans="1:19">
      <c r="A932" s="23"/>
      <c r="B932" s="23"/>
      <c r="C932" s="23"/>
      <c r="D932" s="23"/>
      <c r="E932" s="23"/>
      <c r="F932" s="23"/>
      <c r="G932" s="23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</row>
    <row r="933" spans="1:19">
      <c r="A933" s="23"/>
      <c r="B933" s="23"/>
      <c r="C933" s="23"/>
      <c r="D933" s="23"/>
      <c r="E933" s="23"/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</row>
    <row r="934" spans="1:19">
      <c r="A934" s="23"/>
      <c r="B934" s="23"/>
      <c r="C934" s="23"/>
      <c r="D934" s="23"/>
      <c r="E934" s="23"/>
      <c r="F934" s="23"/>
      <c r="G934" s="23"/>
      <c r="H934" s="23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</row>
    <row r="935" spans="1:19">
      <c r="A935" s="23"/>
      <c r="B935" s="23"/>
      <c r="C935" s="23"/>
      <c r="D935" s="23"/>
      <c r="E935" s="23"/>
      <c r="F935" s="23"/>
      <c r="G935" s="23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</row>
    <row r="936" spans="1:19">
      <c r="A936" s="23"/>
      <c r="B936" s="23"/>
      <c r="C936" s="23"/>
      <c r="D936" s="23"/>
      <c r="E936" s="23"/>
      <c r="F936" s="23"/>
      <c r="G936" s="23"/>
      <c r="H936" s="23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</row>
    <row r="937" spans="1:19">
      <c r="A937" s="23"/>
      <c r="B937" s="23"/>
      <c r="C937" s="23"/>
      <c r="D937" s="23"/>
      <c r="E937" s="23"/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</row>
    <row r="938" spans="1:19">
      <c r="A938" s="23"/>
      <c r="B938" s="23"/>
      <c r="C938" s="23"/>
      <c r="D938" s="23"/>
      <c r="E938" s="23"/>
      <c r="F938" s="23"/>
      <c r="G938" s="23"/>
      <c r="H938" s="23"/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</row>
    <row r="939" spans="1:19">
      <c r="A939" s="23"/>
      <c r="B939" s="23"/>
      <c r="C939" s="23"/>
      <c r="D939" s="23"/>
      <c r="E939" s="23"/>
      <c r="F939" s="23"/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</row>
    <row r="940" spans="1:19">
      <c r="A940" s="23"/>
      <c r="B940" s="23"/>
      <c r="C940" s="23"/>
      <c r="D940" s="23"/>
      <c r="E940" s="23"/>
      <c r="F940" s="23"/>
      <c r="G940" s="23"/>
      <c r="H940" s="23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</row>
    <row r="941" spans="1:19">
      <c r="A941" s="23"/>
      <c r="B941" s="23"/>
      <c r="C941" s="23"/>
      <c r="D941" s="23"/>
      <c r="E941" s="23"/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</row>
    <row r="942" spans="1:19">
      <c r="A942" s="23"/>
      <c r="B942" s="23"/>
      <c r="C942" s="23"/>
      <c r="D942" s="23"/>
      <c r="E942" s="23"/>
      <c r="F942" s="23"/>
      <c r="G942" s="23"/>
      <c r="H942" s="23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</row>
    <row r="943" spans="1:19">
      <c r="A943" s="23"/>
      <c r="B943" s="23"/>
      <c r="C943" s="23"/>
      <c r="D943" s="23"/>
      <c r="E943" s="23"/>
      <c r="F943" s="23"/>
      <c r="G943" s="23"/>
      <c r="H943" s="23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</row>
    <row r="944" spans="1:19">
      <c r="A944" s="23"/>
      <c r="B944" s="23"/>
      <c r="C944" s="23"/>
      <c r="D944" s="23"/>
      <c r="E944" s="23"/>
      <c r="F944" s="23"/>
      <c r="G944" s="23"/>
      <c r="H944" s="23"/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</row>
    <row r="945" spans="1:19">
      <c r="A945" s="23"/>
      <c r="B945" s="23"/>
      <c r="C945" s="23"/>
      <c r="D945" s="23"/>
      <c r="E945" s="23"/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</row>
    <row r="946" spans="1:19">
      <c r="A946" s="23"/>
      <c r="B946" s="23"/>
      <c r="C946" s="23"/>
      <c r="D946" s="23"/>
      <c r="E946" s="23"/>
      <c r="F946" s="23"/>
      <c r="G946" s="23"/>
      <c r="H946" s="23"/>
      <c r="I946" s="23"/>
      <c r="J946" s="23"/>
      <c r="K946" s="23"/>
      <c r="L946" s="23"/>
      <c r="M946" s="23"/>
      <c r="N946" s="23"/>
      <c r="O946" s="23"/>
      <c r="P946" s="23"/>
      <c r="Q946" s="23"/>
      <c r="R946" s="23"/>
      <c r="S946" s="23"/>
    </row>
    <row r="947" spans="1:19">
      <c r="A947" s="23"/>
      <c r="B947" s="23"/>
      <c r="C947" s="23"/>
      <c r="D947" s="23"/>
      <c r="E947" s="23"/>
      <c r="F947" s="23"/>
      <c r="G947" s="23"/>
      <c r="H947" s="23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</row>
    <row r="948" spans="1:19">
      <c r="A948" s="23"/>
      <c r="B948" s="23"/>
      <c r="C948" s="23"/>
      <c r="D948" s="23"/>
      <c r="E948" s="23"/>
      <c r="F948" s="23"/>
      <c r="G948" s="23"/>
      <c r="H948" s="23"/>
      <c r="I948" s="23"/>
      <c r="J948" s="23"/>
      <c r="K948" s="23"/>
      <c r="L948" s="23"/>
      <c r="M948" s="23"/>
      <c r="N948" s="23"/>
      <c r="O948" s="23"/>
      <c r="P948" s="23"/>
      <c r="Q948" s="23"/>
      <c r="R948" s="23"/>
      <c r="S948" s="23"/>
    </row>
    <row r="949" spans="1:19">
      <c r="A949" s="23"/>
      <c r="B949" s="23"/>
      <c r="C949" s="23"/>
      <c r="D949" s="23"/>
      <c r="E949" s="23"/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</row>
    <row r="950" spans="1:19">
      <c r="A950" s="23"/>
      <c r="B950" s="23"/>
      <c r="C950" s="23"/>
      <c r="D950" s="23"/>
      <c r="E950" s="23"/>
      <c r="F950" s="23"/>
      <c r="G950" s="23"/>
      <c r="H950" s="23"/>
      <c r="I950" s="23"/>
      <c r="J950" s="23"/>
      <c r="K950" s="23"/>
      <c r="L950" s="23"/>
      <c r="M950" s="23"/>
      <c r="N950" s="23"/>
      <c r="O950" s="23"/>
      <c r="P950" s="23"/>
      <c r="Q950" s="23"/>
      <c r="R950" s="23"/>
      <c r="S950" s="23"/>
    </row>
    <row r="951" spans="1:19">
      <c r="A951" s="23"/>
      <c r="B951" s="23"/>
      <c r="C951" s="23"/>
      <c r="D951" s="23"/>
      <c r="E951" s="23"/>
      <c r="F951" s="23"/>
      <c r="G951" s="23"/>
      <c r="H951" s="23"/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</row>
    <row r="952" spans="1:19">
      <c r="A952" s="23"/>
      <c r="B952" s="23"/>
      <c r="C952" s="23"/>
      <c r="D952" s="23"/>
      <c r="E952" s="23"/>
      <c r="F952" s="23"/>
      <c r="G952" s="23"/>
      <c r="H952" s="23"/>
      <c r="I952" s="23"/>
      <c r="J952" s="23"/>
      <c r="K952" s="23"/>
      <c r="L952" s="23"/>
      <c r="M952" s="23"/>
      <c r="N952" s="23"/>
      <c r="O952" s="23"/>
      <c r="P952" s="23"/>
      <c r="Q952" s="23"/>
      <c r="R952" s="23"/>
      <c r="S952" s="23"/>
    </row>
    <row r="953" spans="1:19">
      <c r="A953" s="23"/>
      <c r="B953" s="23"/>
      <c r="C953" s="23"/>
      <c r="D953" s="23"/>
      <c r="E953" s="23"/>
      <c r="F953" s="23"/>
      <c r="G953" s="23"/>
      <c r="H953" s="23"/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</row>
    <row r="954" spans="1:19">
      <c r="A954" s="23"/>
      <c r="B954" s="23"/>
      <c r="C954" s="23"/>
      <c r="D954" s="23"/>
      <c r="E954" s="23"/>
      <c r="F954" s="23"/>
      <c r="G954" s="23"/>
      <c r="H954" s="23"/>
      <c r="I954" s="23"/>
      <c r="J954" s="23"/>
      <c r="K954" s="23"/>
      <c r="L954" s="23"/>
      <c r="M954" s="23"/>
      <c r="N954" s="23"/>
      <c r="O954" s="23"/>
      <c r="P954" s="23"/>
      <c r="Q954" s="23"/>
      <c r="R954" s="23"/>
      <c r="S954" s="23"/>
    </row>
    <row r="955" spans="1:19">
      <c r="A955" s="23"/>
      <c r="B955" s="23"/>
      <c r="C955" s="23"/>
      <c r="D955" s="23"/>
      <c r="E955" s="23"/>
      <c r="F955" s="23"/>
      <c r="G955" s="23"/>
      <c r="H955" s="23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</row>
    <row r="956" spans="1:19">
      <c r="A956" s="23"/>
      <c r="B956" s="23"/>
      <c r="C956" s="23"/>
      <c r="D956" s="23"/>
      <c r="E956" s="23"/>
      <c r="F956" s="23"/>
      <c r="G956" s="23"/>
      <c r="H956" s="23"/>
      <c r="I956" s="23"/>
      <c r="J956" s="23"/>
      <c r="K956" s="23"/>
      <c r="L956" s="23"/>
      <c r="M956" s="23"/>
      <c r="N956" s="23"/>
      <c r="O956" s="23"/>
      <c r="P956" s="23"/>
      <c r="Q956" s="23"/>
      <c r="R956" s="23"/>
      <c r="S956" s="23"/>
    </row>
    <row r="957" spans="1:19">
      <c r="A957" s="23"/>
      <c r="B957" s="23"/>
      <c r="C957" s="23"/>
      <c r="D957" s="23"/>
      <c r="E957" s="23"/>
      <c r="F957" s="23"/>
      <c r="G957" s="23"/>
      <c r="H957" s="23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</row>
    <row r="958" spans="1:19">
      <c r="A958" s="23"/>
      <c r="B958" s="23"/>
      <c r="C958" s="23"/>
      <c r="D958" s="23"/>
      <c r="E958" s="23"/>
      <c r="F958" s="23"/>
      <c r="G958" s="23"/>
      <c r="H958" s="23"/>
      <c r="I958" s="23"/>
      <c r="J958" s="23"/>
      <c r="K958" s="23"/>
      <c r="L958" s="23"/>
      <c r="M958" s="23"/>
      <c r="N958" s="23"/>
      <c r="O958" s="23"/>
      <c r="P958" s="23"/>
      <c r="Q958" s="23"/>
      <c r="R958" s="23"/>
      <c r="S958" s="23"/>
    </row>
    <row r="959" spans="1:19">
      <c r="A959" s="23"/>
      <c r="B959" s="23"/>
      <c r="C959" s="23"/>
      <c r="D959" s="23"/>
      <c r="E959" s="23"/>
      <c r="F959" s="23"/>
      <c r="G959" s="23"/>
      <c r="H959" s="23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</row>
    <row r="960" spans="1:19">
      <c r="A960" s="23"/>
      <c r="B960" s="23"/>
      <c r="C960" s="23"/>
      <c r="D960" s="23"/>
      <c r="E960" s="23"/>
      <c r="F960" s="23"/>
      <c r="G960" s="23"/>
      <c r="H960" s="23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</row>
    <row r="961" spans="1:19">
      <c r="A961" s="23"/>
      <c r="B961" s="23"/>
      <c r="C961" s="23"/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</row>
    <row r="962" spans="1:19">
      <c r="A962" s="23"/>
      <c r="B962" s="23"/>
      <c r="C962" s="23"/>
      <c r="D962" s="23"/>
      <c r="E962" s="23"/>
      <c r="F962" s="23"/>
      <c r="G962" s="23"/>
      <c r="H962" s="23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</row>
    <row r="963" spans="1:19">
      <c r="A963" s="23"/>
      <c r="B963" s="23"/>
      <c r="C963" s="23"/>
      <c r="D963" s="23"/>
      <c r="E963" s="23"/>
      <c r="F963" s="23"/>
      <c r="G963" s="23"/>
      <c r="H963" s="23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</row>
    <row r="964" spans="1:19">
      <c r="A964" s="23"/>
      <c r="B964" s="23"/>
      <c r="C964" s="23"/>
      <c r="D964" s="23"/>
      <c r="E964" s="23"/>
      <c r="F964" s="23"/>
      <c r="G964" s="23"/>
      <c r="H964" s="23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</row>
    <row r="965" spans="1:19">
      <c r="A965" s="23"/>
      <c r="B965" s="23"/>
      <c r="C965" s="23"/>
      <c r="D965" s="23"/>
      <c r="E965" s="23"/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</row>
    <row r="966" spans="1:19">
      <c r="A966" s="23"/>
      <c r="B966" s="23"/>
      <c r="C966" s="23"/>
      <c r="D966" s="23"/>
      <c r="E966" s="23"/>
      <c r="F966" s="23"/>
      <c r="G966" s="23"/>
      <c r="H966" s="23"/>
      <c r="I966" s="23"/>
      <c r="J966" s="23"/>
      <c r="K966" s="23"/>
      <c r="L966" s="23"/>
      <c r="M966" s="23"/>
      <c r="N966" s="23"/>
      <c r="O966" s="23"/>
      <c r="P966" s="23"/>
      <c r="Q966" s="23"/>
      <c r="R966" s="23"/>
      <c r="S966" s="23"/>
    </row>
    <row r="967" spans="1:19">
      <c r="A967" s="23"/>
      <c r="B967" s="23"/>
      <c r="C967" s="23"/>
      <c r="D967" s="23"/>
      <c r="E967" s="23"/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</row>
    <row r="968" spans="1:19">
      <c r="A968" s="23"/>
      <c r="B968" s="23"/>
      <c r="C968" s="23"/>
      <c r="D968" s="23"/>
      <c r="E968" s="23"/>
      <c r="F968" s="23"/>
      <c r="G968" s="23"/>
      <c r="H968" s="23"/>
      <c r="I968" s="23"/>
      <c r="J968" s="23"/>
      <c r="K968" s="23"/>
      <c r="L968" s="23"/>
      <c r="M968" s="23"/>
      <c r="N968" s="23"/>
      <c r="O968" s="23"/>
      <c r="P968" s="23"/>
      <c r="Q968" s="23"/>
      <c r="R968" s="23"/>
      <c r="S968" s="23"/>
    </row>
    <row r="969" spans="1:19">
      <c r="A969" s="23"/>
      <c r="B969" s="23"/>
      <c r="C969" s="23"/>
      <c r="D969" s="23"/>
      <c r="E969" s="23"/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</row>
    <row r="970" spans="1:19">
      <c r="A970" s="23"/>
      <c r="B970" s="23"/>
      <c r="C970" s="23"/>
      <c r="D970" s="23"/>
      <c r="E970" s="23"/>
      <c r="F970" s="23"/>
      <c r="G970" s="23"/>
      <c r="H970" s="23"/>
      <c r="I970" s="23"/>
      <c r="J970" s="23"/>
      <c r="K970" s="23"/>
      <c r="L970" s="23"/>
      <c r="M970" s="23"/>
      <c r="N970" s="23"/>
      <c r="O970" s="23"/>
      <c r="P970" s="23"/>
      <c r="Q970" s="23"/>
      <c r="R970" s="23"/>
      <c r="S970" s="23"/>
    </row>
    <row r="971" spans="1:19">
      <c r="A971" s="23"/>
      <c r="B971" s="23"/>
      <c r="C971" s="23"/>
      <c r="D971" s="23"/>
      <c r="E971" s="23"/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</row>
    <row r="972" spans="1:19">
      <c r="A972" s="23"/>
      <c r="B972" s="23"/>
      <c r="C972" s="23"/>
      <c r="D972" s="23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</row>
    <row r="973" spans="1:19">
      <c r="A973" s="23"/>
      <c r="B973" s="23"/>
      <c r="C973" s="23"/>
      <c r="D973" s="23"/>
      <c r="E973" s="23"/>
      <c r="F973" s="23"/>
      <c r="G973" s="23"/>
      <c r="H973" s="23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</row>
    <row r="974" spans="1:19">
      <c r="A974" s="23"/>
      <c r="B974" s="23"/>
      <c r="C974" s="23"/>
      <c r="D974" s="23"/>
      <c r="E974" s="23"/>
      <c r="F974" s="23"/>
      <c r="G974" s="23"/>
      <c r="H974" s="23"/>
      <c r="I974" s="23"/>
      <c r="J974" s="23"/>
      <c r="K974" s="23"/>
      <c r="L974" s="23"/>
      <c r="M974" s="23"/>
      <c r="N974" s="23"/>
      <c r="O974" s="23"/>
      <c r="P974" s="23"/>
      <c r="Q974" s="23"/>
      <c r="R974" s="23"/>
      <c r="S974" s="23"/>
    </row>
    <row r="975" spans="1:19">
      <c r="A975" s="23"/>
      <c r="B975" s="23"/>
      <c r="C975" s="23"/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</row>
    <row r="976" spans="1:19">
      <c r="A976" s="23"/>
      <c r="B976" s="23"/>
      <c r="C976" s="23"/>
      <c r="D976" s="23"/>
      <c r="E976" s="23"/>
      <c r="F976" s="23"/>
      <c r="G976" s="23"/>
      <c r="H976" s="23"/>
      <c r="I976" s="23"/>
      <c r="J976" s="23"/>
      <c r="K976" s="23"/>
      <c r="L976" s="23"/>
      <c r="M976" s="23"/>
      <c r="N976" s="23"/>
      <c r="O976" s="23"/>
      <c r="P976" s="23"/>
      <c r="Q976" s="23"/>
      <c r="R976" s="23"/>
      <c r="S976" s="23"/>
    </row>
    <row r="977" spans="1:19">
      <c r="A977" s="23"/>
      <c r="B977" s="23"/>
      <c r="C977" s="23"/>
      <c r="D977" s="23"/>
      <c r="E977" s="23"/>
      <c r="F977" s="23"/>
      <c r="G977" s="23"/>
      <c r="H977" s="23"/>
      <c r="I977" s="23"/>
      <c r="J977" s="23"/>
      <c r="K977" s="23"/>
      <c r="L977" s="23"/>
      <c r="M977" s="23"/>
      <c r="N977" s="23"/>
      <c r="O977" s="23"/>
      <c r="P977" s="23"/>
      <c r="Q977" s="23"/>
      <c r="R977" s="23"/>
      <c r="S977" s="23"/>
    </row>
    <row r="978" spans="1:19">
      <c r="A978" s="23"/>
      <c r="B978" s="23"/>
      <c r="C978" s="23"/>
      <c r="D978" s="23"/>
      <c r="E978" s="23"/>
      <c r="F978" s="23"/>
      <c r="G978" s="23"/>
      <c r="H978" s="23"/>
      <c r="I978" s="23"/>
      <c r="J978" s="23"/>
      <c r="K978" s="23"/>
      <c r="L978" s="23"/>
      <c r="M978" s="23"/>
      <c r="N978" s="23"/>
      <c r="O978" s="23"/>
      <c r="P978" s="23"/>
      <c r="Q978" s="23"/>
      <c r="R978" s="23"/>
      <c r="S978" s="23"/>
    </row>
    <row r="979" spans="1:19">
      <c r="A979" s="23"/>
      <c r="B979" s="23"/>
      <c r="C979" s="23"/>
      <c r="D979" s="23"/>
      <c r="E979" s="23"/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</row>
    <row r="980" spans="1:19">
      <c r="A980" s="23"/>
      <c r="B980" s="23"/>
      <c r="C980" s="23"/>
      <c r="D980" s="23"/>
      <c r="E980" s="23"/>
      <c r="F980" s="23"/>
      <c r="G980" s="23"/>
      <c r="H980" s="23"/>
      <c r="I980" s="23"/>
      <c r="J980" s="23"/>
      <c r="K980" s="23"/>
      <c r="L980" s="23"/>
      <c r="M980" s="23"/>
      <c r="N980" s="23"/>
      <c r="O980" s="23"/>
      <c r="P980" s="23"/>
      <c r="Q980" s="23"/>
      <c r="R980" s="23"/>
      <c r="S980" s="23"/>
    </row>
    <row r="981" spans="1:19">
      <c r="A981" s="23"/>
      <c r="B981" s="23"/>
      <c r="C981" s="23"/>
      <c r="D981" s="23"/>
      <c r="E981" s="23"/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</row>
    <row r="982" spans="1:19">
      <c r="A982" s="23"/>
      <c r="B982" s="23"/>
      <c r="C982" s="23"/>
      <c r="D982" s="23"/>
      <c r="E982" s="23"/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</row>
    <row r="983" spans="1:19">
      <c r="A983" s="23"/>
      <c r="B983" s="23"/>
      <c r="C983" s="23"/>
      <c r="D983" s="23"/>
      <c r="E983" s="23"/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</row>
    <row r="984" spans="1:19">
      <c r="A984" s="23"/>
      <c r="B984" s="23"/>
      <c r="C984" s="23"/>
      <c r="D984" s="23"/>
      <c r="E984" s="23"/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</row>
    <row r="985" spans="1:19">
      <c r="A985" s="23"/>
      <c r="B985" s="23"/>
      <c r="C985" s="23"/>
      <c r="D985" s="23"/>
      <c r="E985" s="23"/>
      <c r="F985" s="23"/>
      <c r="G985" s="23"/>
      <c r="H985" s="23"/>
      <c r="I985" s="23"/>
      <c r="J985" s="23"/>
      <c r="K985" s="23"/>
      <c r="L985" s="23"/>
      <c r="M985" s="23"/>
      <c r="N985" s="23"/>
      <c r="O985" s="23"/>
      <c r="P985" s="23"/>
      <c r="Q985" s="23"/>
      <c r="R985" s="23"/>
      <c r="S985" s="23"/>
    </row>
    <row r="986" spans="1:19">
      <c r="A986" s="23"/>
      <c r="B986" s="23"/>
      <c r="C986" s="23"/>
      <c r="D986" s="23"/>
      <c r="E986" s="23"/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23"/>
    </row>
    <row r="987" spans="1:19">
      <c r="A987" s="23"/>
      <c r="B987" s="23"/>
      <c r="C987" s="23"/>
      <c r="D987" s="23"/>
      <c r="E987" s="23"/>
      <c r="F987" s="23"/>
      <c r="G987" s="23"/>
      <c r="H987" s="23"/>
      <c r="I987" s="23"/>
      <c r="J987" s="23"/>
      <c r="K987" s="23"/>
      <c r="L987" s="23"/>
      <c r="M987" s="23"/>
      <c r="N987" s="23"/>
      <c r="O987" s="23"/>
      <c r="P987" s="23"/>
      <c r="Q987" s="23"/>
      <c r="R987" s="23"/>
      <c r="S987" s="23"/>
    </row>
    <row r="988" spans="1:19">
      <c r="A988" s="23"/>
      <c r="B988" s="23"/>
      <c r="C988" s="23"/>
      <c r="D988" s="23"/>
      <c r="E988" s="23"/>
      <c r="F988" s="23"/>
      <c r="G988" s="23"/>
      <c r="H988" s="23"/>
      <c r="I988" s="23"/>
      <c r="J988" s="23"/>
      <c r="K988" s="23"/>
      <c r="L988" s="23"/>
      <c r="M988" s="23"/>
      <c r="N988" s="23"/>
      <c r="O988" s="23"/>
      <c r="P988" s="23"/>
      <c r="Q988" s="23"/>
      <c r="R988" s="23"/>
      <c r="S988" s="23"/>
    </row>
    <row r="989" spans="1:19">
      <c r="A989" s="23"/>
      <c r="B989" s="23"/>
      <c r="C989" s="23"/>
      <c r="D989" s="23"/>
      <c r="E989" s="23"/>
      <c r="F989" s="23"/>
      <c r="G989" s="23"/>
      <c r="H989" s="23"/>
      <c r="I989" s="23"/>
      <c r="J989" s="23"/>
      <c r="K989" s="23"/>
      <c r="L989" s="23"/>
      <c r="M989" s="23"/>
      <c r="N989" s="23"/>
      <c r="O989" s="23"/>
      <c r="P989" s="23"/>
      <c r="Q989" s="23"/>
      <c r="R989" s="23"/>
      <c r="S989" s="23"/>
    </row>
    <row r="990" spans="1:19">
      <c r="A990" s="23"/>
      <c r="B990" s="23"/>
      <c r="C990" s="23"/>
      <c r="D990" s="23"/>
      <c r="E990" s="23"/>
      <c r="F990" s="23"/>
      <c r="G990" s="23"/>
      <c r="H990" s="23"/>
      <c r="I990" s="23"/>
      <c r="J990" s="23"/>
      <c r="K990" s="23"/>
      <c r="L990" s="23"/>
      <c r="M990" s="23"/>
      <c r="N990" s="23"/>
      <c r="O990" s="23"/>
      <c r="P990" s="23"/>
      <c r="Q990" s="23"/>
      <c r="R990" s="23"/>
      <c r="S990" s="23"/>
    </row>
    <row r="991" spans="1:19">
      <c r="A991" s="23"/>
      <c r="B991" s="23"/>
      <c r="C991" s="23"/>
      <c r="D991" s="23"/>
      <c r="E991" s="23"/>
      <c r="F991" s="23"/>
      <c r="G991" s="23"/>
      <c r="H991" s="23"/>
      <c r="I991" s="23"/>
      <c r="J991" s="23"/>
      <c r="K991" s="23"/>
      <c r="L991" s="23"/>
      <c r="M991" s="23"/>
      <c r="N991" s="23"/>
      <c r="O991" s="23"/>
      <c r="P991" s="23"/>
      <c r="Q991" s="23"/>
      <c r="R991" s="23"/>
      <c r="S991" s="23"/>
    </row>
    <row r="992" spans="1:19">
      <c r="A992" s="23"/>
      <c r="B992" s="23"/>
      <c r="C992" s="23"/>
      <c r="D992" s="23"/>
      <c r="E992" s="23"/>
      <c r="F992" s="23"/>
      <c r="G992" s="23"/>
      <c r="H992" s="23"/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</row>
    <row r="993" spans="1:19">
      <c r="A993" s="23"/>
      <c r="B993" s="23"/>
      <c r="C993" s="23"/>
      <c r="D993" s="23"/>
      <c r="E993" s="23"/>
      <c r="F993" s="23"/>
      <c r="G993" s="23"/>
      <c r="H993" s="23"/>
      <c r="I993" s="23"/>
      <c r="J993" s="23"/>
      <c r="K993" s="23"/>
      <c r="L993" s="23"/>
      <c r="M993" s="23"/>
      <c r="N993" s="23"/>
      <c r="O993" s="23"/>
      <c r="P993" s="23"/>
      <c r="Q993" s="23"/>
      <c r="R993" s="23"/>
      <c r="S993" s="23"/>
    </row>
    <row r="994" spans="1:19">
      <c r="A994" s="23"/>
      <c r="B994" s="23"/>
      <c r="C994" s="23"/>
      <c r="D994" s="23"/>
      <c r="E994" s="23"/>
      <c r="F994" s="23"/>
      <c r="G994" s="23"/>
      <c r="H994" s="23"/>
      <c r="I994" s="23"/>
      <c r="J994" s="23"/>
      <c r="K994" s="23"/>
      <c r="L994" s="23"/>
      <c r="M994" s="23"/>
      <c r="N994" s="23"/>
      <c r="O994" s="23"/>
      <c r="P994" s="23"/>
      <c r="Q994" s="23"/>
      <c r="R994" s="23"/>
      <c r="S994" s="23"/>
    </row>
    <row r="995" spans="1:19">
      <c r="A995" s="23"/>
      <c r="B995" s="23"/>
      <c r="C995" s="23"/>
      <c r="D995" s="23"/>
      <c r="E995" s="23"/>
      <c r="F995" s="23"/>
      <c r="G995" s="23"/>
      <c r="H995" s="23"/>
      <c r="I995" s="23"/>
      <c r="J995" s="23"/>
      <c r="K995" s="23"/>
      <c r="L995" s="23"/>
      <c r="M995" s="23"/>
      <c r="N995" s="23"/>
      <c r="O995" s="23"/>
      <c r="P995" s="23"/>
      <c r="Q995" s="23"/>
      <c r="R995" s="23"/>
      <c r="S995" s="23"/>
    </row>
    <row r="996" spans="1:19">
      <c r="A996" s="23"/>
      <c r="B996" s="23"/>
      <c r="C996" s="23"/>
      <c r="D996" s="23"/>
      <c r="E996" s="23"/>
      <c r="F996" s="23"/>
      <c r="G996" s="23"/>
      <c r="H996" s="23"/>
      <c r="I996" s="23"/>
      <c r="J996" s="23"/>
      <c r="K996" s="23"/>
      <c r="L996" s="23"/>
      <c r="M996" s="23"/>
      <c r="N996" s="23"/>
      <c r="O996" s="23"/>
      <c r="P996" s="23"/>
      <c r="Q996" s="23"/>
      <c r="R996" s="23"/>
      <c r="S996" s="23"/>
    </row>
    <row r="997" spans="1:19">
      <c r="A997" s="23"/>
      <c r="B997" s="23"/>
      <c r="C997" s="23"/>
      <c r="D997" s="23"/>
      <c r="E997" s="23"/>
      <c r="F997" s="23"/>
      <c r="G997" s="23"/>
      <c r="H997" s="23"/>
      <c r="I997" s="23"/>
      <c r="J997" s="23"/>
      <c r="K997" s="23"/>
      <c r="L997" s="23"/>
      <c r="M997" s="23"/>
      <c r="N997" s="23"/>
      <c r="O997" s="23"/>
      <c r="P997" s="23"/>
      <c r="Q997" s="23"/>
      <c r="R997" s="23"/>
      <c r="S997" s="23"/>
    </row>
    <row r="998" spans="1:19">
      <c r="A998" s="23"/>
      <c r="B998" s="23"/>
      <c r="C998" s="23"/>
      <c r="D998" s="23"/>
      <c r="E998" s="23"/>
      <c r="F998" s="23"/>
      <c r="G998" s="23"/>
      <c r="H998" s="23"/>
      <c r="I998" s="23"/>
      <c r="J998" s="23"/>
      <c r="K998" s="23"/>
      <c r="L998" s="23"/>
      <c r="M998" s="23"/>
      <c r="N998" s="23"/>
      <c r="O998" s="23"/>
      <c r="P998" s="23"/>
      <c r="Q998" s="23"/>
      <c r="R998" s="23"/>
      <c r="S998" s="23"/>
    </row>
    <row r="999" spans="1:19">
      <c r="A999" s="23"/>
      <c r="B999" s="23"/>
      <c r="C999" s="23"/>
      <c r="D999" s="23"/>
      <c r="E999" s="23"/>
      <c r="F999" s="23"/>
      <c r="G999" s="23"/>
      <c r="H999" s="23"/>
      <c r="I999" s="23"/>
      <c r="J999" s="23"/>
      <c r="K999" s="23"/>
      <c r="L999" s="23"/>
      <c r="M999" s="23"/>
      <c r="N999" s="23"/>
      <c r="O999" s="23"/>
      <c r="P999" s="23"/>
      <c r="Q999" s="23"/>
      <c r="R999" s="23"/>
      <c r="S999" s="23"/>
    </row>
    <row r="1000" spans="1:19">
      <c r="A1000" s="23"/>
      <c r="B1000" s="23"/>
      <c r="C1000" s="23"/>
      <c r="D1000" s="23"/>
      <c r="E1000" s="23"/>
      <c r="F1000" s="23"/>
      <c r="G1000" s="23"/>
      <c r="H1000" s="23"/>
      <c r="I1000" s="23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outlinePr summaryBelow="0" summaryRight="0"/>
  </sheetPr>
  <dimension ref="A1:S1000"/>
  <sheetViews>
    <sheetView workbookViewId="0"/>
  </sheetViews>
  <sheetFormatPr baseColWidth="10" defaultColWidth="11.1640625" defaultRowHeight="15" customHeight="1"/>
  <sheetData>
    <row r="1" spans="1:19">
      <c r="A1" s="23" t="str">
        <f ca="1">IFERROR(__xludf.DUMMYFUNCTION("IMPORTRANGE(""https://docs.google.com/spreadsheets/d/1vCVPjtTbwjOHxNoYk06lhTuwO4s4k9dNMLYqZgkkR78/edit?gid=54889057#gid=54889057"",""01!A1:S"")"),"INDICADORES")</f>
        <v>INDICADORES</v>
      </c>
      <c r="B1" s="23" t="str">
        <f ca="1">IFERROR(__xludf.DUMMYFUNCTION("""COMPUTED_VALUE"""),"META ANUAL")</f>
        <v>META ANUAL</v>
      </c>
      <c r="C1" s="23" t="str">
        <f ca="1">IFERROR(__xludf.DUMMYFUNCTION("""COMPUTED_VALUE"""),"UNIDAD DE MEDIDA")</f>
        <v>UNIDAD DE MEDIDA</v>
      </c>
      <c r="D1" s="23" t="str">
        <f ca="1">IFERROR(__xludf.DUMMYFUNCTION("""COMPUTED_VALUE"""),"TIPO DE INDICADOR")</f>
        <v>TIPO DE INDICADOR</v>
      </c>
      <c r="E1" s="23" t="str">
        <f ca="1">IFERROR(__xludf.DUMMYFUNCTION("""COMPUTED_VALUE"""),"MEDIO DE VERIFICACION")</f>
        <v>MEDIO DE VERIFICACION</v>
      </c>
      <c r="F1" s="23" t="str">
        <f ca="1">IFERROR(__xludf.DUMMYFUNCTION("""COMPUTED_VALUE"""),"% AVANCE ")</f>
        <v xml:space="preserve">% AVANCE </v>
      </c>
      <c r="G1" s="23" t="str">
        <f ca="1">IFERROR(__xludf.DUMMYFUNCTION("""COMPUTED_VALUE"""),"OCTUBRE")</f>
        <v>OCTUBRE</v>
      </c>
      <c r="H1" s="23" t="str">
        <f ca="1">IFERROR(__xludf.DUMMYFUNCTION("""COMPUTED_VALUE"""),"NOVIEMBRE")</f>
        <v>NOVIEMBRE</v>
      </c>
      <c r="I1" s="23" t="str">
        <f ca="1">IFERROR(__xludf.DUMMYFUNCTION("""COMPUTED_VALUE"""),"DICIEMBRE")</f>
        <v>DICIEMBRE</v>
      </c>
      <c r="J1" s="23" t="str">
        <f ca="1">IFERROR(__xludf.DUMMYFUNCTION("""COMPUTED_VALUE"""),"ENERO ")</f>
        <v xml:space="preserve">ENERO </v>
      </c>
      <c r="K1" s="23" t="str">
        <f ca="1">IFERROR(__xludf.DUMMYFUNCTION("""COMPUTED_VALUE"""),"FEBRERO")</f>
        <v>FEBRERO</v>
      </c>
      <c r="L1" s="23" t="str">
        <f ca="1">IFERROR(__xludf.DUMMYFUNCTION("""COMPUTED_VALUE"""),"MARZO")</f>
        <v>MARZO</v>
      </c>
      <c r="M1" s="23" t="str">
        <f ca="1">IFERROR(__xludf.DUMMYFUNCTION("""COMPUTED_VALUE"""),"ABRIL")</f>
        <v>ABRIL</v>
      </c>
      <c r="N1" s="23" t="str">
        <f ca="1">IFERROR(__xludf.DUMMYFUNCTION("""COMPUTED_VALUE"""),"MAYO")</f>
        <v>MAYO</v>
      </c>
      <c r="O1" s="23" t="str">
        <f ca="1">IFERROR(__xludf.DUMMYFUNCTION("""COMPUTED_VALUE"""),"JUNIO")</f>
        <v>JUNIO</v>
      </c>
      <c r="P1" s="23" t="str">
        <f ca="1">IFERROR(__xludf.DUMMYFUNCTION("""COMPUTED_VALUE"""),"JULIO")</f>
        <v>JULIO</v>
      </c>
      <c r="Q1" s="23" t="str">
        <f ca="1">IFERROR(__xludf.DUMMYFUNCTION("""COMPUTED_VALUE"""),"AGOSTO")</f>
        <v>AGOSTO</v>
      </c>
      <c r="R1" s="23" t="str">
        <f ca="1">IFERROR(__xludf.DUMMYFUNCTION("""COMPUTED_VALUE"""),"SEPTIEMBRE")</f>
        <v>SEPTIEMBRE</v>
      </c>
      <c r="S1" s="23" t="str">
        <f ca="1">IFERROR(__xludf.DUMMYFUNCTION("""COMPUTED_VALUE"""),"SUMATORIA TOTAL")</f>
        <v>SUMATORIA TOTAL</v>
      </c>
    </row>
    <row r="2" spans="1:19">
      <c r="A2" s="23" t="str">
        <f ca="1">IFERROR(__xludf.DUMMYFUNCTION("""COMPUTED_VALUE"""),"INCENDIO POR Utilización de gas inflamable")</f>
        <v>INCENDIO POR Utilización de gas inflamable</v>
      </c>
      <c r="B2" s="23">
        <f ca="1">IFERROR(__xludf.DUMMYFUNCTION("""COMPUTED_VALUE"""),1)</f>
        <v>1</v>
      </c>
      <c r="C2" s="23"/>
      <c r="D2" s="23" t="str">
        <f ca="1">IFERROR(__xludf.DUMMYFUNCTION("""COMPUTED_VALUE"""),"ASCENDENTE")</f>
        <v>ASCENDENTE</v>
      </c>
      <c r="E2" s="23" t="str">
        <f ca="1">IFERROR(__xludf.DUMMYFUNCTION("""COMPUTED_VALUE"""),"SESIONES PUBLICAS")</f>
        <v>SESIONES PUBLICAS</v>
      </c>
      <c r="F2" s="23">
        <f ca="1">IFERROR(__xludf.DUMMYFUNCTION("""COMPUTED_VALUE"""),0)</f>
        <v>0</v>
      </c>
      <c r="G2" s="23">
        <f ca="1">IFERROR(__xludf.DUMMYFUNCTION("""COMPUTED_VALUE"""),0)</f>
        <v>0</v>
      </c>
      <c r="H2" s="23">
        <f ca="1">IFERROR(__xludf.DUMMYFUNCTION("""COMPUTED_VALUE"""),0)</f>
        <v>0</v>
      </c>
      <c r="I2" s="23">
        <f ca="1">IFERROR(__xludf.DUMMYFUNCTION("""COMPUTED_VALUE"""),0)</f>
        <v>0</v>
      </c>
      <c r="J2" s="23">
        <f ca="1">IFERROR(__xludf.DUMMYFUNCTION("""COMPUTED_VALUE"""),0)</f>
        <v>0</v>
      </c>
      <c r="K2" s="23">
        <f ca="1">IFERROR(__xludf.DUMMYFUNCTION("""COMPUTED_VALUE"""),0)</f>
        <v>0</v>
      </c>
      <c r="L2" s="23">
        <f ca="1">IFERROR(__xludf.DUMMYFUNCTION("""COMPUTED_VALUE"""),0)</f>
        <v>0</v>
      </c>
      <c r="M2" s="23">
        <f ca="1">IFERROR(__xludf.DUMMYFUNCTION("""COMPUTED_VALUE"""),0)</f>
        <v>0</v>
      </c>
      <c r="N2" s="23">
        <f ca="1">IFERROR(__xludf.DUMMYFUNCTION("""COMPUTED_VALUE"""),0)</f>
        <v>0</v>
      </c>
      <c r="O2" s="23">
        <f ca="1">IFERROR(__xludf.DUMMYFUNCTION("""COMPUTED_VALUE"""),0)</f>
        <v>0</v>
      </c>
      <c r="P2" s="23">
        <f ca="1">IFERROR(__xludf.DUMMYFUNCTION("""COMPUTED_VALUE"""),0)</f>
        <v>0</v>
      </c>
      <c r="Q2" s="23">
        <f ca="1">IFERROR(__xludf.DUMMYFUNCTION("""COMPUTED_VALUE"""),0)</f>
        <v>0</v>
      </c>
      <c r="R2" s="23">
        <f ca="1">IFERROR(__xludf.DUMMYFUNCTION("""COMPUTED_VALUE"""),0)</f>
        <v>0</v>
      </c>
      <c r="S2" s="23">
        <f ca="1">IFERROR(__xludf.DUMMYFUNCTION("""COMPUTED_VALUE"""),0)</f>
        <v>0</v>
      </c>
    </row>
    <row r="3" spans="1:19">
      <c r="A3" s="23" t="str">
        <f ca="1">IFERROR(__xludf.DUMMYFUNCTION("""COMPUTED_VALUE"""),"INCENDIO POR DESCUIDO")</f>
        <v>INCENDIO POR DESCUIDO</v>
      </c>
      <c r="B3" s="23">
        <f ca="1">IFERROR(__xludf.DUMMYFUNCTION("""COMPUTED_VALUE"""),1)</f>
        <v>1</v>
      </c>
      <c r="C3" s="23"/>
      <c r="D3" s="23" t="str">
        <f ca="1">IFERROR(__xludf.DUMMYFUNCTION("""COMPUTED_VALUE"""),"ASCENDENTE")</f>
        <v>ASCENDENTE</v>
      </c>
      <c r="E3" s="23" t="str">
        <f ca="1">IFERROR(__xludf.DUMMYFUNCTION("""COMPUTED_VALUE"""),"BITACORA DE ATENCION")</f>
        <v>BITACORA DE ATENCION</v>
      </c>
      <c r="F3" s="23">
        <f ca="1">IFERROR(__xludf.DUMMYFUNCTION("""COMPUTED_VALUE"""),0)</f>
        <v>0</v>
      </c>
      <c r="G3" s="23">
        <f ca="1">IFERROR(__xludf.DUMMYFUNCTION("""COMPUTED_VALUE"""),0)</f>
        <v>0</v>
      </c>
      <c r="H3" s="23">
        <f ca="1">IFERROR(__xludf.DUMMYFUNCTION("""COMPUTED_VALUE"""),0)</f>
        <v>0</v>
      </c>
      <c r="I3" s="23">
        <f ca="1">IFERROR(__xludf.DUMMYFUNCTION("""COMPUTED_VALUE"""),0)</f>
        <v>0</v>
      </c>
      <c r="J3" s="23">
        <f ca="1">IFERROR(__xludf.DUMMYFUNCTION("""COMPUTED_VALUE"""),0)</f>
        <v>0</v>
      </c>
      <c r="K3" s="23">
        <f ca="1">IFERROR(__xludf.DUMMYFUNCTION("""COMPUTED_VALUE"""),0)</f>
        <v>0</v>
      </c>
      <c r="L3" s="23">
        <f ca="1">IFERROR(__xludf.DUMMYFUNCTION("""COMPUTED_VALUE"""),0)</f>
        <v>0</v>
      </c>
      <c r="M3" s="23">
        <f ca="1">IFERROR(__xludf.DUMMYFUNCTION("""COMPUTED_VALUE"""),0)</f>
        <v>0</v>
      </c>
      <c r="N3" s="23">
        <f ca="1">IFERROR(__xludf.DUMMYFUNCTION("""COMPUTED_VALUE"""),0)</f>
        <v>0</v>
      </c>
      <c r="O3" s="23">
        <f ca="1">IFERROR(__xludf.DUMMYFUNCTION("""COMPUTED_VALUE"""),0)</f>
        <v>0</v>
      </c>
      <c r="P3" s="23">
        <f ca="1">IFERROR(__xludf.DUMMYFUNCTION("""COMPUTED_VALUE"""),0)</f>
        <v>0</v>
      </c>
      <c r="Q3" s="23">
        <f ca="1">IFERROR(__xludf.DUMMYFUNCTION("""COMPUTED_VALUE"""),0)</f>
        <v>0</v>
      </c>
      <c r="R3" s="23">
        <f ca="1">IFERROR(__xludf.DUMMYFUNCTION("""COMPUTED_VALUE"""),0)</f>
        <v>0</v>
      </c>
      <c r="S3" s="23">
        <f ca="1">IFERROR(__xludf.DUMMYFUNCTION("""COMPUTED_VALUE"""),0)</f>
        <v>0</v>
      </c>
    </row>
    <row r="4" spans="1:19">
      <c r="A4" s="23" t="str">
        <f ca="1">IFERROR(__xludf.DUMMYFUNCTION("""COMPUTED_VALUE"""),"Negligencia")</f>
        <v>Negligencia</v>
      </c>
      <c r="B4" s="23">
        <f ca="1">IFERROR(__xludf.DUMMYFUNCTION("""COMPUTED_VALUE"""),1)</f>
        <v>1</v>
      </c>
      <c r="C4" s="23"/>
      <c r="D4" s="23" t="str">
        <f ca="1">IFERROR(__xludf.DUMMYFUNCTION("""COMPUTED_VALUE"""),"ASCENDENTE")</f>
        <v>ASCENDENTE</v>
      </c>
      <c r="E4" s="23" t="str">
        <f ca="1">IFERROR(__xludf.DUMMYFUNCTION("""COMPUTED_VALUE"""),"BITACORA DE ATENCION")</f>
        <v>BITACORA DE ATENCION</v>
      </c>
      <c r="F4" s="23">
        <f ca="1">IFERROR(__xludf.DUMMYFUNCTION("""COMPUTED_VALUE"""),0)</f>
        <v>0</v>
      </c>
      <c r="G4" s="23">
        <f ca="1">IFERROR(__xludf.DUMMYFUNCTION("""COMPUTED_VALUE"""),0)</f>
        <v>0</v>
      </c>
      <c r="H4" s="23">
        <f ca="1">IFERROR(__xludf.DUMMYFUNCTION("""COMPUTED_VALUE"""),0)</f>
        <v>0</v>
      </c>
      <c r="I4" s="23">
        <f ca="1">IFERROR(__xludf.DUMMYFUNCTION("""COMPUTED_VALUE"""),0)</f>
        <v>0</v>
      </c>
      <c r="J4" s="23">
        <f ca="1">IFERROR(__xludf.DUMMYFUNCTION("""COMPUTED_VALUE"""),0)</f>
        <v>0</v>
      </c>
      <c r="K4" s="23">
        <f ca="1">IFERROR(__xludf.DUMMYFUNCTION("""COMPUTED_VALUE"""),0)</f>
        <v>0</v>
      </c>
      <c r="L4" s="23">
        <f ca="1">IFERROR(__xludf.DUMMYFUNCTION("""COMPUTED_VALUE"""),0)</f>
        <v>0</v>
      </c>
      <c r="M4" s="23">
        <f ca="1">IFERROR(__xludf.DUMMYFUNCTION("""COMPUTED_VALUE"""),0)</f>
        <v>0</v>
      </c>
      <c r="N4" s="23">
        <f ca="1">IFERROR(__xludf.DUMMYFUNCTION("""COMPUTED_VALUE"""),0)</f>
        <v>0</v>
      </c>
      <c r="O4" s="23">
        <f ca="1">IFERROR(__xludf.DUMMYFUNCTION("""COMPUTED_VALUE"""),0)</f>
        <v>0</v>
      </c>
      <c r="P4" s="23">
        <f ca="1">IFERROR(__xludf.DUMMYFUNCTION("""COMPUTED_VALUE"""),0)</f>
        <v>0</v>
      </c>
      <c r="Q4" s="23">
        <f ca="1">IFERROR(__xludf.DUMMYFUNCTION("""COMPUTED_VALUE"""),0)</f>
        <v>0</v>
      </c>
      <c r="R4" s="23">
        <f ca="1">IFERROR(__xludf.DUMMYFUNCTION("""COMPUTED_VALUE"""),0)</f>
        <v>0</v>
      </c>
      <c r="S4" s="23">
        <f ca="1">IFERROR(__xludf.DUMMYFUNCTION("""COMPUTED_VALUE"""),0)</f>
        <v>0</v>
      </c>
    </row>
    <row r="5" spans="1:19">
      <c r="A5" s="23" t="str">
        <f ca="1">IFERROR(__xludf.DUMMYFUNCTION("""COMPUTED_VALUE"""),"INCENDIO PROVOCADO")</f>
        <v>INCENDIO PROVOCADO</v>
      </c>
      <c r="B5" s="23">
        <f ca="1">IFERROR(__xludf.DUMMYFUNCTION("""COMPUTED_VALUE"""),1)</f>
        <v>1</v>
      </c>
      <c r="C5" s="23"/>
      <c r="D5" s="23" t="str">
        <f ca="1">IFERROR(__xludf.DUMMYFUNCTION("""COMPUTED_VALUE"""),"ASCENDENTE")</f>
        <v>ASCENDENTE</v>
      </c>
      <c r="E5" s="23" t="str">
        <f ca="1">IFERROR(__xludf.DUMMYFUNCTION("""COMPUTED_VALUE"""),"BITACORA OPERATIVA")</f>
        <v>BITACORA OPERATIVA</v>
      </c>
      <c r="F5" s="23">
        <f ca="1">IFERROR(__xludf.DUMMYFUNCTION("""COMPUTED_VALUE"""),0)</f>
        <v>0</v>
      </c>
      <c r="G5" s="23">
        <f ca="1">IFERROR(__xludf.DUMMYFUNCTION("""COMPUTED_VALUE"""),0)</f>
        <v>0</v>
      </c>
      <c r="H5" s="23">
        <f ca="1">IFERROR(__xludf.DUMMYFUNCTION("""COMPUTED_VALUE"""),0)</f>
        <v>0</v>
      </c>
      <c r="I5" s="23">
        <f ca="1">IFERROR(__xludf.DUMMYFUNCTION("""COMPUTED_VALUE"""),0)</f>
        <v>0</v>
      </c>
      <c r="J5" s="23">
        <f ca="1">IFERROR(__xludf.DUMMYFUNCTION("""COMPUTED_VALUE"""),0)</f>
        <v>0</v>
      </c>
      <c r="K5" s="23">
        <f ca="1">IFERROR(__xludf.DUMMYFUNCTION("""COMPUTED_VALUE"""),0)</f>
        <v>0</v>
      </c>
      <c r="L5" s="23">
        <f ca="1">IFERROR(__xludf.DUMMYFUNCTION("""COMPUTED_VALUE"""),0)</f>
        <v>0</v>
      </c>
      <c r="M5" s="23">
        <f ca="1">IFERROR(__xludf.DUMMYFUNCTION("""COMPUTED_VALUE"""),0)</f>
        <v>0</v>
      </c>
      <c r="N5" s="23">
        <f ca="1">IFERROR(__xludf.DUMMYFUNCTION("""COMPUTED_VALUE"""),0)</f>
        <v>0</v>
      </c>
      <c r="O5" s="23">
        <f ca="1">IFERROR(__xludf.DUMMYFUNCTION("""COMPUTED_VALUE"""),0)</f>
        <v>0</v>
      </c>
      <c r="P5" s="23">
        <f ca="1">IFERROR(__xludf.DUMMYFUNCTION("""COMPUTED_VALUE"""),0)</f>
        <v>0</v>
      </c>
      <c r="Q5" s="23">
        <f ca="1">IFERROR(__xludf.DUMMYFUNCTION("""COMPUTED_VALUE"""),0)</f>
        <v>0</v>
      </c>
      <c r="R5" s="23">
        <f ca="1">IFERROR(__xludf.DUMMYFUNCTION("""COMPUTED_VALUE"""),0)</f>
        <v>0</v>
      </c>
      <c r="S5" s="23">
        <f ca="1">IFERROR(__xludf.DUMMYFUNCTION("""COMPUTED_VALUE"""),0)</f>
        <v>0</v>
      </c>
    </row>
    <row r="6" spans="1:19">
      <c r="A6" s="23" t="str">
        <f ca="1">IFERROR(__xludf.DUMMYFUNCTION("""COMPUTED_VALUE"""),"INCENDIO INTENCIONAL")</f>
        <v>INCENDIO INTENCIONAL</v>
      </c>
      <c r="B6" s="23">
        <f ca="1">IFERROR(__xludf.DUMMYFUNCTION("""COMPUTED_VALUE"""),1)</f>
        <v>1</v>
      </c>
      <c r="C6" s="23"/>
      <c r="D6" s="23" t="str">
        <f ca="1">IFERROR(__xludf.DUMMYFUNCTION("""COMPUTED_VALUE"""),"ASCENDENTE")</f>
        <v>ASCENDENTE</v>
      </c>
      <c r="E6" s="23" t="str">
        <f ca="1">IFERROR(__xludf.DUMMYFUNCTION("""COMPUTED_VALUE"""),"BITACORA OPERATIVA")</f>
        <v>BITACORA OPERATIVA</v>
      </c>
      <c r="F6" s="23">
        <f ca="1">IFERROR(__xludf.DUMMYFUNCTION("""COMPUTED_VALUE"""),0)</f>
        <v>0</v>
      </c>
      <c r="G6" s="23">
        <f ca="1">IFERROR(__xludf.DUMMYFUNCTION("""COMPUTED_VALUE"""),0)</f>
        <v>0</v>
      </c>
      <c r="H6" s="23">
        <f ca="1">IFERROR(__xludf.DUMMYFUNCTION("""COMPUTED_VALUE"""),0)</f>
        <v>0</v>
      </c>
      <c r="I6" s="23">
        <f ca="1">IFERROR(__xludf.DUMMYFUNCTION("""COMPUTED_VALUE"""),0)</f>
        <v>0</v>
      </c>
      <c r="J6" s="23">
        <f ca="1">IFERROR(__xludf.DUMMYFUNCTION("""COMPUTED_VALUE"""),0)</f>
        <v>0</v>
      </c>
      <c r="K6" s="23">
        <f ca="1">IFERROR(__xludf.DUMMYFUNCTION("""COMPUTED_VALUE"""),0)</f>
        <v>0</v>
      </c>
      <c r="L6" s="23">
        <f ca="1">IFERROR(__xludf.DUMMYFUNCTION("""COMPUTED_VALUE"""),0)</f>
        <v>0</v>
      </c>
      <c r="M6" s="23">
        <f ca="1">IFERROR(__xludf.DUMMYFUNCTION("""COMPUTED_VALUE"""),0)</f>
        <v>0</v>
      </c>
      <c r="N6" s="23">
        <f ca="1">IFERROR(__xludf.DUMMYFUNCTION("""COMPUTED_VALUE"""),0)</f>
        <v>0</v>
      </c>
      <c r="O6" s="23">
        <f ca="1">IFERROR(__xludf.DUMMYFUNCTION("""COMPUTED_VALUE"""),0)</f>
        <v>0</v>
      </c>
      <c r="P6" s="23">
        <f ca="1">IFERROR(__xludf.DUMMYFUNCTION("""COMPUTED_VALUE"""),0)</f>
        <v>0</v>
      </c>
      <c r="Q6" s="23">
        <f ca="1">IFERROR(__xludf.DUMMYFUNCTION("""COMPUTED_VALUE"""),0)</f>
        <v>0</v>
      </c>
      <c r="R6" s="23">
        <f ca="1">IFERROR(__xludf.DUMMYFUNCTION("""COMPUTED_VALUE"""),0)</f>
        <v>0</v>
      </c>
      <c r="S6" s="23">
        <f ca="1">IFERROR(__xludf.DUMMYFUNCTION("""COMPUTED_VALUE"""),0)</f>
        <v>0</v>
      </c>
    </row>
    <row r="7" spans="1:19">
      <c r="A7" s="23"/>
      <c r="B7" s="23">
        <f ca="1">IFERROR(__xludf.DUMMYFUNCTION("""COMPUTED_VALUE"""),1)</f>
        <v>1</v>
      </c>
      <c r="C7" s="23"/>
      <c r="D7" s="23" t="str">
        <f ca="1">IFERROR(__xludf.DUMMYFUNCTION("""COMPUTED_VALUE"""),"ASCENDENTE")</f>
        <v>ASCENDENTE</v>
      </c>
      <c r="E7" s="23" t="str">
        <f ca="1">IFERROR(__xludf.DUMMYFUNCTION("""COMPUTED_VALUE"""),"BITACORA OPERATIVA")</f>
        <v>BITACORA OPERATIVA</v>
      </c>
      <c r="F7" s="23">
        <f ca="1">IFERROR(__xludf.DUMMYFUNCTION("""COMPUTED_VALUE"""),0)</f>
        <v>0</v>
      </c>
      <c r="G7" s="23">
        <f ca="1">IFERROR(__xludf.DUMMYFUNCTION("""COMPUTED_VALUE"""),0)</f>
        <v>0</v>
      </c>
      <c r="H7" s="23">
        <f ca="1">IFERROR(__xludf.DUMMYFUNCTION("""COMPUTED_VALUE"""),0)</f>
        <v>0</v>
      </c>
      <c r="I7" s="23">
        <f ca="1">IFERROR(__xludf.DUMMYFUNCTION("""COMPUTED_VALUE"""),0)</f>
        <v>0</v>
      </c>
      <c r="J7" s="23">
        <f ca="1">IFERROR(__xludf.DUMMYFUNCTION("""COMPUTED_VALUE"""),0)</f>
        <v>0</v>
      </c>
      <c r="K7" s="23">
        <f ca="1">IFERROR(__xludf.DUMMYFUNCTION("""COMPUTED_VALUE"""),0)</f>
        <v>0</v>
      </c>
      <c r="L7" s="23">
        <f ca="1">IFERROR(__xludf.DUMMYFUNCTION("""COMPUTED_VALUE"""),0)</f>
        <v>0</v>
      </c>
      <c r="M7" s="23">
        <f ca="1">IFERROR(__xludf.DUMMYFUNCTION("""COMPUTED_VALUE"""),0)</f>
        <v>0</v>
      </c>
      <c r="N7" s="23">
        <f ca="1">IFERROR(__xludf.DUMMYFUNCTION("""COMPUTED_VALUE"""),0)</f>
        <v>0</v>
      </c>
      <c r="O7" s="23">
        <f ca="1">IFERROR(__xludf.DUMMYFUNCTION("""COMPUTED_VALUE"""),0)</f>
        <v>0</v>
      </c>
      <c r="P7" s="23">
        <f ca="1">IFERROR(__xludf.DUMMYFUNCTION("""COMPUTED_VALUE"""),0)</f>
        <v>0</v>
      </c>
      <c r="Q7" s="23">
        <f ca="1">IFERROR(__xludf.DUMMYFUNCTION("""COMPUTED_VALUE"""),0)</f>
        <v>0</v>
      </c>
      <c r="R7" s="23">
        <f ca="1">IFERROR(__xludf.DUMMYFUNCTION("""COMPUTED_VALUE"""),0)</f>
        <v>0</v>
      </c>
      <c r="S7" s="23">
        <f ca="1">IFERROR(__xludf.DUMMYFUNCTION("""COMPUTED_VALUE"""),0)</f>
        <v>0</v>
      </c>
    </row>
    <row r="8" spans="1:19">
      <c r="A8" s="23" t="str">
        <f ca="1">IFERROR(__xludf.DUMMYFUNCTION("""COMPUTED_VALUE"""),"DERRAME DE COMBUSTIBLE")</f>
        <v>DERRAME DE COMBUSTIBLE</v>
      </c>
      <c r="B8" s="23">
        <f ca="1">IFERROR(__xludf.DUMMYFUNCTION("""COMPUTED_VALUE"""),1)</f>
        <v>1</v>
      </c>
      <c r="C8" s="23"/>
      <c r="D8" s="23" t="str">
        <f ca="1">IFERROR(__xludf.DUMMYFUNCTION("""COMPUTED_VALUE"""),"ASCENDENTE")</f>
        <v>ASCENDENTE</v>
      </c>
      <c r="E8" s="23" t="str">
        <f ca="1">IFERROR(__xludf.DUMMYFUNCTION("""COMPUTED_VALUE"""),"BITACORA OPERATIVA")</f>
        <v>BITACORA OPERATIVA</v>
      </c>
      <c r="F8" s="23">
        <f ca="1">IFERROR(__xludf.DUMMYFUNCTION("""COMPUTED_VALUE"""),0)</f>
        <v>0</v>
      </c>
      <c r="G8" s="23">
        <f ca="1">IFERROR(__xludf.DUMMYFUNCTION("""COMPUTED_VALUE"""),0)</f>
        <v>0</v>
      </c>
      <c r="H8" s="23">
        <f ca="1">IFERROR(__xludf.DUMMYFUNCTION("""COMPUTED_VALUE"""),0)</f>
        <v>0</v>
      </c>
      <c r="I8" s="23">
        <f ca="1">IFERROR(__xludf.DUMMYFUNCTION("""COMPUTED_VALUE"""),0)</f>
        <v>0</v>
      </c>
      <c r="J8" s="23">
        <f ca="1">IFERROR(__xludf.DUMMYFUNCTION("""COMPUTED_VALUE"""),0)</f>
        <v>0</v>
      </c>
      <c r="K8" s="23">
        <f ca="1">IFERROR(__xludf.DUMMYFUNCTION("""COMPUTED_VALUE"""),0)</f>
        <v>0</v>
      </c>
      <c r="L8" s="23">
        <f ca="1">IFERROR(__xludf.DUMMYFUNCTION("""COMPUTED_VALUE"""),0)</f>
        <v>0</v>
      </c>
      <c r="M8" s="23">
        <f ca="1">IFERROR(__xludf.DUMMYFUNCTION("""COMPUTED_VALUE"""),0)</f>
        <v>0</v>
      </c>
      <c r="N8" s="23">
        <f ca="1">IFERROR(__xludf.DUMMYFUNCTION("""COMPUTED_VALUE"""),0)</f>
        <v>0</v>
      </c>
      <c r="O8" s="23">
        <f ca="1">IFERROR(__xludf.DUMMYFUNCTION("""COMPUTED_VALUE"""),0)</f>
        <v>0</v>
      </c>
      <c r="P8" s="23">
        <f ca="1">IFERROR(__xludf.DUMMYFUNCTION("""COMPUTED_VALUE"""),0)</f>
        <v>0</v>
      </c>
      <c r="Q8" s="23">
        <f ca="1">IFERROR(__xludf.DUMMYFUNCTION("""COMPUTED_VALUE"""),0)</f>
        <v>0</v>
      </c>
      <c r="R8" s="23">
        <f ca="1">IFERROR(__xludf.DUMMYFUNCTION("""COMPUTED_VALUE"""),0)</f>
        <v>0</v>
      </c>
      <c r="S8" s="23">
        <f ca="1">IFERROR(__xludf.DUMMYFUNCTION("""COMPUTED_VALUE"""),0)</f>
        <v>0</v>
      </c>
    </row>
    <row r="9" spans="1:19">
      <c r="A9" s="23" t="str">
        <f ca="1">IFERROR(__xludf.DUMMYFUNCTION("""COMPUTED_VALUE"""),"Fuga de gasolina")</f>
        <v>Fuga de gasolina</v>
      </c>
      <c r="B9" s="23">
        <f ca="1">IFERROR(__xludf.DUMMYFUNCTION("""COMPUTED_VALUE"""),1)</f>
        <v>1</v>
      </c>
      <c r="C9" s="23"/>
      <c r="D9" s="23" t="str">
        <f ca="1">IFERROR(__xludf.DUMMYFUNCTION("""COMPUTED_VALUE"""),"ASCENDENTE")</f>
        <v>ASCENDENTE</v>
      </c>
      <c r="E9" s="23" t="str">
        <f ca="1">IFERROR(__xludf.DUMMYFUNCTION("""COMPUTED_VALUE"""),"BITACORA OPERATIVA")</f>
        <v>BITACORA OPERATIVA</v>
      </c>
      <c r="F9" s="23">
        <f ca="1">IFERROR(__xludf.DUMMYFUNCTION("""COMPUTED_VALUE"""),0)</f>
        <v>0</v>
      </c>
      <c r="G9" s="23">
        <f ca="1">IFERROR(__xludf.DUMMYFUNCTION("""COMPUTED_VALUE"""),0)</f>
        <v>0</v>
      </c>
      <c r="H9" s="23">
        <f ca="1">IFERROR(__xludf.DUMMYFUNCTION("""COMPUTED_VALUE"""),0)</f>
        <v>0</v>
      </c>
      <c r="I9" s="23">
        <f ca="1">IFERROR(__xludf.DUMMYFUNCTION("""COMPUTED_VALUE"""),0)</f>
        <v>0</v>
      </c>
      <c r="J9" s="23">
        <f ca="1">IFERROR(__xludf.DUMMYFUNCTION("""COMPUTED_VALUE"""),0)</f>
        <v>0</v>
      </c>
      <c r="K9" s="23">
        <f ca="1">IFERROR(__xludf.DUMMYFUNCTION("""COMPUTED_VALUE"""),0)</f>
        <v>0</v>
      </c>
      <c r="L9" s="23">
        <f ca="1">IFERROR(__xludf.DUMMYFUNCTION("""COMPUTED_VALUE"""),0)</f>
        <v>0</v>
      </c>
      <c r="M9" s="23">
        <f ca="1">IFERROR(__xludf.DUMMYFUNCTION("""COMPUTED_VALUE"""),0)</f>
        <v>0</v>
      </c>
      <c r="N9" s="23">
        <f ca="1">IFERROR(__xludf.DUMMYFUNCTION("""COMPUTED_VALUE"""),0)</f>
        <v>0</v>
      </c>
      <c r="O9" s="23">
        <f ca="1">IFERROR(__xludf.DUMMYFUNCTION("""COMPUTED_VALUE"""),0)</f>
        <v>0</v>
      </c>
      <c r="P9" s="23">
        <f ca="1">IFERROR(__xludf.DUMMYFUNCTION("""COMPUTED_VALUE"""),0)</f>
        <v>0</v>
      </c>
      <c r="Q9" s="23">
        <f ca="1">IFERROR(__xludf.DUMMYFUNCTION("""COMPUTED_VALUE"""),0)</f>
        <v>0</v>
      </c>
      <c r="R9" s="23">
        <f ca="1">IFERROR(__xludf.DUMMYFUNCTION("""COMPUTED_VALUE"""),0)</f>
        <v>0</v>
      </c>
      <c r="S9" s="23">
        <f ca="1">IFERROR(__xludf.DUMMYFUNCTION("""COMPUTED_VALUE"""),0)</f>
        <v>0</v>
      </c>
    </row>
    <row r="10" spans="1:19">
      <c r="A10" s="23" t="str">
        <f ca="1">IFERROR(__xludf.DUMMYFUNCTION("""COMPUTED_VALUE"""),"Recalentamiento de materiales")</f>
        <v>Recalentamiento de materiales</v>
      </c>
      <c r="B10" s="23">
        <f ca="1">IFERROR(__xludf.DUMMYFUNCTION("""COMPUTED_VALUE"""),1)</f>
        <v>1</v>
      </c>
      <c r="C10" s="23"/>
      <c r="D10" s="23" t="str">
        <f ca="1">IFERROR(__xludf.DUMMYFUNCTION("""COMPUTED_VALUE"""),"ASCENDENTE")</f>
        <v>ASCENDENTE</v>
      </c>
      <c r="E10" s="23" t="str">
        <f ca="1">IFERROR(__xludf.DUMMYFUNCTION("""COMPUTED_VALUE"""),"BITACORA OPERATIVA")</f>
        <v>BITACORA OPERATIVA</v>
      </c>
      <c r="F10" s="23">
        <f ca="1">IFERROR(__xludf.DUMMYFUNCTION("""COMPUTED_VALUE"""),0)</f>
        <v>0</v>
      </c>
      <c r="G10" s="23">
        <f ca="1">IFERROR(__xludf.DUMMYFUNCTION("""COMPUTED_VALUE"""),0)</f>
        <v>0</v>
      </c>
      <c r="H10" s="23">
        <f ca="1">IFERROR(__xludf.DUMMYFUNCTION("""COMPUTED_VALUE"""),0)</f>
        <v>0</v>
      </c>
      <c r="I10" s="23">
        <f ca="1">IFERROR(__xludf.DUMMYFUNCTION("""COMPUTED_VALUE"""),0)</f>
        <v>0</v>
      </c>
      <c r="J10" s="23">
        <f ca="1">IFERROR(__xludf.DUMMYFUNCTION("""COMPUTED_VALUE"""),0)</f>
        <v>0</v>
      </c>
      <c r="K10" s="23">
        <f ca="1">IFERROR(__xludf.DUMMYFUNCTION("""COMPUTED_VALUE"""),0)</f>
        <v>0</v>
      </c>
      <c r="L10" s="23">
        <f ca="1">IFERROR(__xludf.DUMMYFUNCTION("""COMPUTED_VALUE"""),0)</f>
        <v>0</v>
      </c>
      <c r="M10" s="23">
        <f ca="1">IFERROR(__xludf.DUMMYFUNCTION("""COMPUTED_VALUE"""),0)</f>
        <v>0</v>
      </c>
      <c r="N10" s="23">
        <f ca="1">IFERROR(__xludf.DUMMYFUNCTION("""COMPUTED_VALUE"""),0)</f>
        <v>0</v>
      </c>
      <c r="O10" s="23">
        <f ca="1">IFERROR(__xludf.DUMMYFUNCTION("""COMPUTED_VALUE"""),0)</f>
        <v>0</v>
      </c>
      <c r="P10" s="23">
        <f ca="1">IFERROR(__xludf.DUMMYFUNCTION("""COMPUTED_VALUE"""),0)</f>
        <v>0</v>
      </c>
      <c r="Q10" s="23">
        <f ca="1">IFERROR(__xludf.DUMMYFUNCTION("""COMPUTED_VALUE"""),0)</f>
        <v>0</v>
      </c>
      <c r="R10" s="23">
        <f ca="1">IFERROR(__xludf.DUMMYFUNCTION("""COMPUTED_VALUE"""),0)</f>
        <v>0</v>
      </c>
      <c r="S10" s="23">
        <f ca="1">IFERROR(__xludf.DUMMYFUNCTION("""COMPUTED_VALUE"""),0)</f>
        <v>0</v>
      </c>
    </row>
    <row r="11" spans="1:19">
      <c r="A11" s="23" t="str">
        <f ca="1">IFERROR(__xludf.DUMMYFUNCTION("""COMPUTED_VALUE"""),"CHOQUE DE VEHICULO")</f>
        <v>CHOQUE DE VEHICULO</v>
      </c>
      <c r="B11" s="23">
        <f ca="1">IFERROR(__xludf.DUMMYFUNCTION("""COMPUTED_VALUE"""),1)</f>
        <v>1</v>
      </c>
      <c r="C11" s="23"/>
      <c r="D11" s="23" t="str">
        <f ca="1">IFERROR(__xludf.DUMMYFUNCTION("""COMPUTED_VALUE"""),"ASCENDENTE")</f>
        <v>ASCENDENTE</v>
      </c>
      <c r="E11" s="23" t="str">
        <f ca="1">IFERROR(__xludf.DUMMYFUNCTION("""COMPUTED_VALUE"""),"BITACORA OPERATIVA")</f>
        <v>BITACORA OPERATIVA</v>
      </c>
      <c r="F11" s="23">
        <f ca="1">IFERROR(__xludf.DUMMYFUNCTION("""COMPUTED_VALUE"""),0)</f>
        <v>0</v>
      </c>
      <c r="G11" s="23">
        <f ca="1">IFERROR(__xludf.DUMMYFUNCTION("""COMPUTED_VALUE"""),0)</f>
        <v>0</v>
      </c>
      <c r="H11" s="23">
        <f ca="1">IFERROR(__xludf.DUMMYFUNCTION("""COMPUTED_VALUE"""),0)</f>
        <v>0</v>
      </c>
      <c r="I11" s="23">
        <f ca="1">IFERROR(__xludf.DUMMYFUNCTION("""COMPUTED_VALUE"""),0)</f>
        <v>0</v>
      </c>
      <c r="J11" s="23">
        <f ca="1">IFERROR(__xludf.DUMMYFUNCTION("""COMPUTED_VALUE"""),0)</f>
        <v>0</v>
      </c>
      <c r="K11" s="23">
        <f ca="1">IFERROR(__xludf.DUMMYFUNCTION("""COMPUTED_VALUE"""),0)</f>
        <v>0</v>
      </c>
      <c r="L11" s="23">
        <f ca="1">IFERROR(__xludf.DUMMYFUNCTION("""COMPUTED_VALUE"""),0)</f>
        <v>0</v>
      </c>
      <c r="M11" s="23">
        <f ca="1">IFERROR(__xludf.DUMMYFUNCTION("""COMPUTED_VALUE"""),0)</f>
        <v>0</v>
      </c>
      <c r="N11" s="23">
        <f ca="1">IFERROR(__xludf.DUMMYFUNCTION("""COMPUTED_VALUE"""),0)</f>
        <v>0</v>
      </c>
      <c r="O11" s="23">
        <f ca="1">IFERROR(__xludf.DUMMYFUNCTION("""COMPUTED_VALUE"""),0)</f>
        <v>0</v>
      </c>
      <c r="P11" s="23">
        <f ca="1">IFERROR(__xludf.DUMMYFUNCTION("""COMPUTED_VALUE"""),0)</f>
        <v>0</v>
      </c>
      <c r="Q11" s="23">
        <f ca="1">IFERROR(__xludf.DUMMYFUNCTION("""COMPUTED_VALUE"""),0)</f>
        <v>0</v>
      </c>
      <c r="R11" s="23">
        <f ca="1">IFERROR(__xludf.DUMMYFUNCTION("""COMPUTED_VALUE"""),0)</f>
        <v>0</v>
      </c>
      <c r="S11" s="23">
        <f ca="1">IFERROR(__xludf.DUMMYFUNCTION("""COMPUTED_VALUE"""),0)</f>
        <v>0</v>
      </c>
    </row>
    <row r="12" spans="1:19">
      <c r="A12" s="23" t="str">
        <f ca="1">IFERROR(__xludf.DUMMYFUNCTION("""COMPUTED_VALUE"""),"INCENCENDIO ACCIDENTAL")</f>
        <v>INCENCENDIO ACCIDENTAL</v>
      </c>
      <c r="B12" s="23">
        <f ca="1">IFERROR(__xludf.DUMMYFUNCTION("""COMPUTED_VALUE"""),1)</f>
        <v>1</v>
      </c>
      <c r="C12" s="23"/>
      <c r="D12" s="23" t="str">
        <f ca="1">IFERROR(__xludf.DUMMYFUNCTION("""COMPUTED_VALUE"""),"ASCENDENTE")</f>
        <v>ASCENDENTE</v>
      </c>
      <c r="E12" s="23" t="str">
        <f ca="1">IFERROR(__xludf.DUMMYFUNCTION("""COMPUTED_VALUE"""),"BITACORA OPERATIVA")</f>
        <v>BITACORA OPERATIVA</v>
      </c>
      <c r="F12" s="23">
        <f ca="1">IFERROR(__xludf.DUMMYFUNCTION("""COMPUTED_VALUE"""),0)</f>
        <v>0</v>
      </c>
      <c r="G12" s="23">
        <f ca="1">IFERROR(__xludf.DUMMYFUNCTION("""COMPUTED_VALUE"""),0)</f>
        <v>0</v>
      </c>
      <c r="H12" s="23">
        <f ca="1">IFERROR(__xludf.DUMMYFUNCTION("""COMPUTED_VALUE"""),0)</f>
        <v>0</v>
      </c>
      <c r="I12" s="23">
        <f ca="1">IFERROR(__xludf.DUMMYFUNCTION("""COMPUTED_VALUE"""),0)</f>
        <v>0</v>
      </c>
      <c r="J12" s="23">
        <f ca="1">IFERROR(__xludf.DUMMYFUNCTION("""COMPUTED_VALUE"""),0)</f>
        <v>0</v>
      </c>
      <c r="K12" s="23">
        <f ca="1">IFERROR(__xludf.DUMMYFUNCTION("""COMPUTED_VALUE"""),0)</f>
        <v>0</v>
      </c>
      <c r="L12" s="23">
        <f ca="1">IFERROR(__xludf.DUMMYFUNCTION("""COMPUTED_VALUE"""),0)</f>
        <v>0</v>
      </c>
      <c r="M12" s="23">
        <f ca="1">IFERROR(__xludf.DUMMYFUNCTION("""COMPUTED_VALUE"""),0)</f>
        <v>0</v>
      </c>
      <c r="N12" s="23">
        <f ca="1">IFERROR(__xludf.DUMMYFUNCTION("""COMPUTED_VALUE"""),0)</f>
        <v>0</v>
      </c>
      <c r="O12" s="23">
        <f ca="1">IFERROR(__xludf.DUMMYFUNCTION("""COMPUTED_VALUE"""),0)</f>
        <v>0</v>
      </c>
      <c r="P12" s="23">
        <f ca="1">IFERROR(__xludf.DUMMYFUNCTION("""COMPUTED_VALUE"""),0)</f>
        <v>0</v>
      </c>
      <c r="Q12" s="23">
        <f ca="1">IFERROR(__xludf.DUMMYFUNCTION("""COMPUTED_VALUE"""),0)</f>
        <v>0</v>
      </c>
      <c r="R12" s="23">
        <f ca="1">IFERROR(__xludf.DUMMYFUNCTION("""COMPUTED_VALUE"""),0)</f>
        <v>0</v>
      </c>
      <c r="S12" s="23">
        <f ca="1">IFERROR(__xludf.DUMMYFUNCTION("""COMPUTED_VALUE"""),0)</f>
        <v>0</v>
      </c>
    </row>
    <row r="13" spans="1:19">
      <c r="A13" s="23" t="str">
        <f ca="1">IFERROR(__xludf.DUMMYFUNCTION("""COMPUTED_VALUE"""),"EXPLOSIONES")</f>
        <v>EXPLOSIONES</v>
      </c>
      <c r="B13" s="23">
        <f ca="1">IFERROR(__xludf.DUMMYFUNCTION("""COMPUTED_VALUE"""),1)</f>
        <v>1</v>
      </c>
      <c r="C13" s="23"/>
      <c r="D13" s="23" t="str">
        <f ca="1">IFERROR(__xludf.DUMMYFUNCTION("""COMPUTED_VALUE"""),"ASCENDENTE")</f>
        <v>ASCENDENTE</v>
      </c>
      <c r="E13" s="23" t="str">
        <f ca="1">IFERROR(__xludf.DUMMYFUNCTION("""COMPUTED_VALUE"""),"BITACORA OPERATIVA")</f>
        <v>BITACORA OPERATIVA</v>
      </c>
      <c r="F13" s="23">
        <f ca="1">IFERROR(__xludf.DUMMYFUNCTION("""COMPUTED_VALUE"""),0)</f>
        <v>0</v>
      </c>
      <c r="G13" s="23">
        <f ca="1">IFERROR(__xludf.DUMMYFUNCTION("""COMPUTED_VALUE"""),0)</f>
        <v>0</v>
      </c>
      <c r="H13" s="23">
        <f ca="1">IFERROR(__xludf.DUMMYFUNCTION("""COMPUTED_VALUE"""),0)</f>
        <v>0</v>
      </c>
      <c r="I13" s="23">
        <f ca="1">IFERROR(__xludf.DUMMYFUNCTION("""COMPUTED_VALUE"""),0)</f>
        <v>0</v>
      </c>
      <c r="J13" s="23">
        <f ca="1">IFERROR(__xludf.DUMMYFUNCTION("""COMPUTED_VALUE"""),0)</f>
        <v>0</v>
      </c>
      <c r="K13" s="23">
        <f ca="1">IFERROR(__xludf.DUMMYFUNCTION("""COMPUTED_VALUE"""),0)</f>
        <v>0</v>
      </c>
      <c r="L13" s="23">
        <f ca="1">IFERROR(__xludf.DUMMYFUNCTION("""COMPUTED_VALUE"""),0)</f>
        <v>0</v>
      </c>
      <c r="M13" s="23">
        <f ca="1">IFERROR(__xludf.DUMMYFUNCTION("""COMPUTED_VALUE"""),0)</f>
        <v>0</v>
      </c>
      <c r="N13" s="23">
        <f ca="1">IFERROR(__xludf.DUMMYFUNCTION("""COMPUTED_VALUE"""),0)</f>
        <v>0</v>
      </c>
      <c r="O13" s="23">
        <f ca="1">IFERROR(__xludf.DUMMYFUNCTION("""COMPUTED_VALUE"""),0)</f>
        <v>0</v>
      </c>
      <c r="P13" s="23">
        <f ca="1">IFERROR(__xludf.DUMMYFUNCTION("""COMPUTED_VALUE"""),0)</f>
        <v>0</v>
      </c>
      <c r="Q13" s="23">
        <f ca="1">IFERROR(__xludf.DUMMYFUNCTION("""COMPUTED_VALUE"""),0)</f>
        <v>0</v>
      </c>
      <c r="R13" s="23">
        <f ca="1">IFERROR(__xludf.DUMMYFUNCTION("""COMPUTED_VALUE"""),0)</f>
        <v>0</v>
      </c>
      <c r="S13" s="23">
        <f ca="1">IFERROR(__xludf.DUMMYFUNCTION("""COMPUTED_VALUE"""),0)</f>
        <v>0</v>
      </c>
    </row>
    <row r="14" spans="1:19">
      <c r="A14" s="23" t="str">
        <f ca="1">IFERROR(__xludf.DUMMYFUNCTION("""COMPUTED_VALUE"""),"FUEGO DIRECTO")</f>
        <v>FUEGO DIRECTO</v>
      </c>
      <c r="B14" s="23">
        <f ca="1">IFERROR(__xludf.DUMMYFUNCTION("""COMPUTED_VALUE"""),1)</f>
        <v>1</v>
      </c>
      <c r="C14" s="23"/>
      <c r="D14" s="23" t="str">
        <f ca="1">IFERROR(__xludf.DUMMYFUNCTION("""COMPUTED_VALUE"""),"ASCENDENTE")</f>
        <v>ASCENDENTE</v>
      </c>
      <c r="E14" s="23" t="str">
        <f ca="1">IFERROR(__xludf.DUMMYFUNCTION("""COMPUTED_VALUE"""),"BITACORA OPERATIVA")</f>
        <v>BITACORA OPERATIVA</v>
      </c>
      <c r="F14" s="23">
        <f ca="1">IFERROR(__xludf.DUMMYFUNCTION("""COMPUTED_VALUE"""),0)</f>
        <v>0</v>
      </c>
      <c r="G14" s="23">
        <f ca="1">IFERROR(__xludf.DUMMYFUNCTION("""COMPUTED_VALUE"""),0)</f>
        <v>0</v>
      </c>
      <c r="H14" s="23">
        <f ca="1">IFERROR(__xludf.DUMMYFUNCTION("""COMPUTED_VALUE"""),0)</f>
        <v>0</v>
      </c>
      <c r="I14" s="23">
        <f ca="1">IFERROR(__xludf.DUMMYFUNCTION("""COMPUTED_VALUE"""),0)</f>
        <v>0</v>
      </c>
      <c r="J14" s="23">
        <f ca="1">IFERROR(__xludf.DUMMYFUNCTION("""COMPUTED_VALUE"""),0)</f>
        <v>0</v>
      </c>
      <c r="K14" s="23">
        <f ca="1">IFERROR(__xludf.DUMMYFUNCTION("""COMPUTED_VALUE"""),0)</f>
        <v>0</v>
      </c>
      <c r="L14" s="23">
        <f ca="1">IFERROR(__xludf.DUMMYFUNCTION("""COMPUTED_VALUE"""),0)</f>
        <v>0</v>
      </c>
      <c r="M14" s="23">
        <f ca="1">IFERROR(__xludf.DUMMYFUNCTION("""COMPUTED_VALUE"""),0)</f>
        <v>0</v>
      </c>
      <c r="N14" s="23">
        <f ca="1">IFERROR(__xludf.DUMMYFUNCTION("""COMPUTED_VALUE"""),0)</f>
        <v>0</v>
      </c>
      <c r="O14" s="23">
        <f ca="1">IFERROR(__xludf.DUMMYFUNCTION("""COMPUTED_VALUE"""),0)</f>
        <v>0</v>
      </c>
      <c r="P14" s="23">
        <f ca="1">IFERROR(__xludf.DUMMYFUNCTION("""COMPUTED_VALUE"""),0)</f>
        <v>0</v>
      </c>
      <c r="Q14" s="23">
        <f ca="1">IFERROR(__xludf.DUMMYFUNCTION("""COMPUTED_VALUE"""),0)</f>
        <v>0</v>
      </c>
      <c r="R14" s="23">
        <f ca="1">IFERROR(__xludf.DUMMYFUNCTION("""COMPUTED_VALUE"""),0)</f>
        <v>0</v>
      </c>
      <c r="S14" s="23">
        <f ca="1">IFERROR(__xludf.DUMMYFUNCTION("""COMPUTED_VALUE"""),0)</f>
        <v>0</v>
      </c>
    </row>
    <row r="15" spans="1:19">
      <c r="A15" s="23" t="str">
        <f ca="1">IFERROR(__xludf.DUMMYFUNCTION("""COMPUTED_VALUE"""),"QUEMA DE BASURA")</f>
        <v>QUEMA DE BASURA</v>
      </c>
      <c r="B15" s="23">
        <f ca="1">IFERROR(__xludf.DUMMYFUNCTION("""COMPUTED_VALUE"""),1)</f>
        <v>1</v>
      </c>
      <c r="C15" s="23"/>
      <c r="D15" s="23" t="str">
        <f ca="1">IFERROR(__xludf.DUMMYFUNCTION("""COMPUTED_VALUE"""),"ASCENDENTE")</f>
        <v>ASCENDENTE</v>
      </c>
      <c r="E15" s="23" t="str">
        <f ca="1">IFERROR(__xludf.DUMMYFUNCTION("""COMPUTED_VALUE"""),"BITACORA OPERATIVA")</f>
        <v>BITACORA OPERATIVA</v>
      </c>
      <c r="F15" s="23">
        <f ca="1">IFERROR(__xludf.DUMMYFUNCTION("""COMPUTED_VALUE"""),0)</f>
        <v>0</v>
      </c>
      <c r="G15" s="23">
        <f ca="1">IFERROR(__xludf.DUMMYFUNCTION("""COMPUTED_VALUE"""),0)</f>
        <v>0</v>
      </c>
      <c r="H15" s="23">
        <f ca="1">IFERROR(__xludf.DUMMYFUNCTION("""COMPUTED_VALUE"""),0)</f>
        <v>0</v>
      </c>
      <c r="I15" s="23">
        <f ca="1">IFERROR(__xludf.DUMMYFUNCTION("""COMPUTED_VALUE"""),0)</f>
        <v>0</v>
      </c>
      <c r="J15" s="23">
        <f ca="1">IFERROR(__xludf.DUMMYFUNCTION("""COMPUTED_VALUE"""),0)</f>
        <v>0</v>
      </c>
      <c r="K15" s="23">
        <f ca="1">IFERROR(__xludf.DUMMYFUNCTION("""COMPUTED_VALUE"""),0)</f>
        <v>0</v>
      </c>
      <c r="L15" s="23">
        <f ca="1">IFERROR(__xludf.DUMMYFUNCTION("""COMPUTED_VALUE"""),0)</f>
        <v>0</v>
      </c>
      <c r="M15" s="23">
        <f ca="1">IFERROR(__xludf.DUMMYFUNCTION("""COMPUTED_VALUE"""),0)</f>
        <v>0</v>
      </c>
      <c r="N15" s="23">
        <f ca="1">IFERROR(__xludf.DUMMYFUNCTION("""COMPUTED_VALUE"""),0)</f>
        <v>0</v>
      </c>
      <c r="O15" s="23">
        <f ca="1">IFERROR(__xludf.DUMMYFUNCTION("""COMPUTED_VALUE"""),0)</f>
        <v>0</v>
      </c>
      <c r="P15" s="23">
        <f ca="1">IFERROR(__xludf.DUMMYFUNCTION("""COMPUTED_VALUE"""),0)</f>
        <v>0</v>
      </c>
      <c r="Q15" s="23">
        <f ca="1">IFERROR(__xludf.DUMMYFUNCTION("""COMPUTED_VALUE"""),0)</f>
        <v>0</v>
      </c>
      <c r="R15" s="23">
        <f ca="1">IFERROR(__xludf.DUMMYFUNCTION("""COMPUTED_VALUE"""),0)</f>
        <v>0</v>
      </c>
      <c r="S15" s="23">
        <f ca="1">IFERROR(__xludf.DUMMYFUNCTION("""COMPUTED_VALUE"""),0)</f>
        <v>0</v>
      </c>
    </row>
    <row r="16" spans="1:19">
      <c r="A16" s="23" t="str">
        <f ca="1">IFERROR(__xludf.DUMMYFUNCTION("""COMPUTED_VALUE"""),"PROPAGACION")</f>
        <v>PROPAGACION</v>
      </c>
      <c r="B16" s="23">
        <f ca="1">IFERROR(__xludf.DUMMYFUNCTION("""COMPUTED_VALUE"""),1)</f>
        <v>1</v>
      </c>
      <c r="C16" s="23"/>
      <c r="D16" s="23" t="str">
        <f ca="1">IFERROR(__xludf.DUMMYFUNCTION("""COMPUTED_VALUE"""),"ASCENDENTE")</f>
        <v>ASCENDENTE</v>
      </c>
      <c r="E16" s="23" t="str">
        <f ca="1">IFERROR(__xludf.DUMMYFUNCTION("""COMPUTED_VALUE"""),"BITACORA OPERATIVA")</f>
        <v>BITACORA OPERATIVA</v>
      </c>
      <c r="F16" s="23">
        <f ca="1">IFERROR(__xludf.DUMMYFUNCTION("""COMPUTED_VALUE"""),0)</f>
        <v>0</v>
      </c>
      <c r="G16" s="23">
        <f ca="1">IFERROR(__xludf.DUMMYFUNCTION("""COMPUTED_VALUE"""),0)</f>
        <v>0</v>
      </c>
      <c r="H16" s="23">
        <f ca="1">IFERROR(__xludf.DUMMYFUNCTION("""COMPUTED_VALUE"""),0)</f>
        <v>0</v>
      </c>
      <c r="I16" s="23">
        <f ca="1">IFERROR(__xludf.DUMMYFUNCTION("""COMPUTED_VALUE"""),0)</f>
        <v>0</v>
      </c>
      <c r="J16" s="23">
        <f ca="1">IFERROR(__xludf.DUMMYFUNCTION("""COMPUTED_VALUE"""),0)</f>
        <v>0</v>
      </c>
      <c r="K16" s="23">
        <f ca="1">IFERROR(__xludf.DUMMYFUNCTION("""COMPUTED_VALUE"""),0)</f>
        <v>0</v>
      </c>
      <c r="L16" s="23">
        <f ca="1">IFERROR(__xludf.DUMMYFUNCTION("""COMPUTED_VALUE"""),0)</f>
        <v>0</v>
      </c>
      <c r="M16" s="23">
        <f ca="1">IFERROR(__xludf.DUMMYFUNCTION("""COMPUTED_VALUE"""),0)</f>
        <v>0</v>
      </c>
      <c r="N16" s="23">
        <f ca="1">IFERROR(__xludf.DUMMYFUNCTION("""COMPUTED_VALUE"""),0)</f>
        <v>0</v>
      </c>
      <c r="O16" s="23">
        <f ca="1">IFERROR(__xludf.DUMMYFUNCTION("""COMPUTED_VALUE"""),0)</f>
        <v>0</v>
      </c>
      <c r="P16" s="23">
        <f ca="1">IFERROR(__xludf.DUMMYFUNCTION("""COMPUTED_VALUE"""),0)</f>
        <v>0</v>
      </c>
      <c r="Q16" s="23">
        <f ca="1">IFERROR(__xludf.DUMMYFUNCTION("""COMPUTED_VALUE"""),0)</f>
        <v>0</v>
      </c>
      <c r="R16" s="23">
        <f ca="1">IFERROR(__xludf.DUMMYFUNCTION("""COMPUTED_VALUE"""),0)</f>
        <v>0</v>
      </c>
      <c r="S16" s="23">
        <f ca="1">IFERROR(__xludf.DUMMYFUNCTION("""COMPUTED_VALUE"""),0)</f>
        <v>0</v>
      </c>
    </row>
    <row r="17" spans="1:19">
      <c r="A17" s="23" t="str">
        <f ca="1">IFERROR(__xludf.DUMMYFUNCTION("""COMPUTED_VALUE"""),"MALA INSTALACION ELECTRICA")</f>
        <v>MALA INSTALACION ELECTRICA</v>
      </c>
      <c r="B17" s="23">
        <f ca="1">IFERROR(__xludf.DUMMYFUNCTION("""COMPUTED_VALUE"""),1)</f>
        <v>1</v>
      </c>
      <c r="C17" s="23"/>
      <c r="D17" s="23" t="str">
        <f ca="1">IFERROR(__xludf.DUMMYFUNCTION("""COMPUTED_VALUE"""),"ASCENDENTE")</f>
        <v>ASCENDENTE</v>
      </c>
      <c r="E17" s="23" t="str">
        <f ca="1">IFERROR(__xludf.DUMMYFUNCTION("""COMPUTED_VALUE"""),"BITACORA OPERATIVA")</f>
        <v>BITACORA OPERATIVA</v>
      </c>
      <c r="F17" s="23">
        <f ca="1">IFERROR(__xludf.DUMMYFUNCTION("""COMPUTED_VALUE"""),0)</f>
        <v>0</v>
      </c>
      <c r="G17" s="23">
        <f ca="1">IFERROR(__xludf.DUMMYFUNCTION("""COMPUTED_VALUE"""),0)</f>
        <v>0</v>
      </c>
      <c r="H17" s="23">
        <f ca="1">IFERROR(__xludf.DUMMYFUNCTION("""COMPUTED_VALUE"""),0)</f>
        <v>0</v>
      </c>
      <c r="I17" s="23">
        <f ca="1">IFERROR(__xludf.DUMMYFUNCTION("""COMPUTED_VALUE"""),0)</f>
        <v>0</v>
      </c>
      <c r="J17" s="23">
        <f ca="1">IFERROR(__xludf.DUMMYFUNCTION("""COMPUTED_VALUE"""),0)</f>
        <v>0</v>
      </c>
      <c r="K17" s="23">
        <f ca="1">IFERROR(__xludf.DUMMYFUNCTION("""COMPUTED_VALUE"""),0)</f>
        <v>0</v>
      </c>
      <c r="L17" s="23">
        <f ca="1">IFERROR(__xludf.DUMMYFUNCTION("""COMPUTED_VALUE"""),0)</f>
        <v>0</v>
      </c>
      <c r="M17" s="23">
        <f ca="1">IFERROR(__xludf.DUMMYFUNCTION("""COMPUTED_VALUE"""),0)</f>
        <v>0</v>
      </c>
      <c r="N17" s="23">
        <f ca="1">IFERROR(__xludf.DUMMYFUNCTION("""COMPUTED_VALUE"""),0)</f>
        <v>0</v>
      </c>
      <c r="O17" s="23">
        <f ca="1">IFERROR(__xludf.DUMMYFUNCTION("""COMPUTED_VALUE"""),0)</f>
        <v>0</v>
      </c>
      <c r="P17" s="23">
        <f ca="1">IFERROR(__xludf.DUMMYFUNCTION("""COMPUTED_VALUE"""),0)</f>
        <v>0</v>
      </c>
      <c r="Q17" s="23">
        <f ca="1">IFERROR(__xludf.DUMMYFUNCTION("""COMPUTED_VALUE"""),0)</f>
        <v>0</v>
      </c>
      <c r="R17" s="23">
        <f ca="1">IFERROR(__xludf.DUMMYFUNCTION("""COMPUTED_VALUE"""),0)</f>
        <v>0</v>
      </c>
      <c r="S17" s="23">
        <f ca="1">IFERROR(__xludf.DUMMYFUNCTION("""COMPUTED_VALUE"""),0)</f>
        <v>0</v>
      </c>
    </row>
    <row r="18" spans="1:19">
      <c r="A18" s="23" t="str">
        <f ca="1">IFERROR(__xludf.DUMMYFUNCTION("""COMPUTED_VALUE"""),"FALTA DE MANTENIMIENTO")</f>
        <v>FALTA DE MANTENIMIENTO</v>
      </c>
      <c r="B18" s="23">
        <f ca="1">IFERROR(__xludf.DUMMYFUNCTION("""COMPUTED_VALUE"""),1)</f>
        <v>1</v>
      </c>
      <c r="C18" s="23"/>
      <c r="D18" s="23" t="str">
        <f ca="1">IFERROR(__xludf.DUMMYFUNCTION("""COMPUTED_VALUE"""),"ASCENDENTE")</f>
        <v>ASCENDENTE</v>
      </c>
      <c r="E18" s="23" t="str">
        <f ca="1">IFERROR(__xludf.DUMMYFUNCTION("""COMPUTED_VALUE"""),"BITACORA OPERATIVA")</f>
        <v>BITACORA OPERATIVA</v>
      </c>
      <c r="F18" s="23">
        <f ca="1">IFERROR(__xludf.DUMMYFUNCTION("""COMPUTED_VALUE"""),0)</f>
        <v>0</v>
      </c>
      <c r="G18" s="23">
        <f ca="1">IFERROR(__xludf.DUMMYFUNCTION("""COMPUTED_VALUE"""),0)</f>
        <v>0</v>
      </c>
      <c r="H18" s="23">
        <f ca="1">IFERROR(__xludf.DUMMYFUNCTION("""COMPUTED_VALUE"""),0)</f>
        <v>0</v>
      </c>
      <c r="I18" s="23">
        <f ca="1">IFERROR(__xludf.DUMMYFUNCTION("""COMPUTED_VALUE"""),0)</f>
        <v>0</v>
      </c>
      <c r="J18" s="23">
        <f ca="1">IFERROR(__xludf.DUMMYFUNCTION("""COMPUTED_VALUE"""),0)</f>
        <v>0</v>
      </c>
      <c r="K18" s="23">
        <f ca="1">IFERROR(__xludf.DUMMYFUNCTION("""COMPUTED_VALUE"""),0)</f>
        <v>0</v>
      </c>
      <c r="L18" s="23">
        <f ca="1">IFERROR(__xludf.DUMMYFUNCTION("""COMPUTED_VALUE"""),0)</f>
        <v>0</v>
      </c>
      <c r="M18" s="23">
        <f ca="1">IFERROR(__xludf.DUMMYFUNCTION("""COMPUTED_VALUE"""),0)</f>
        <v>0</v>
      </c>
      <c r="N18" s="23">
        <f ca="1">IFERROR(__xludf.DUMMYFUNCTION("""COMPUTED_VALUE"""),0)</f>
        <v>0</v>
      </c>
      <c r="O18" s="23">
        <f ca="1">IFERROR(__xludf.DUMMYFUNCTION("""COMPUTED_VALUE"""),0)</f>
        <v>0</v>
      </c>
      <c r="P18" s="23">
        <f ca="1">IFERROR(__xludf.DUMMYFUNCTION("""COMPUTED_VALUE"""),0)</f>
        <v>0</v>
      </c>
      <c r="Q18" s="23">
        <f ca="1">IFERROR(__xludf.DUMMYFUNCTION("""COMPUTED_VALUE"""),0)</f>
        <v>0</v>
      </c>
      <c r="R18" s="23">
        <f ca="1">IFERROR(__xludf.DUMMYFUNCTION("""COMPUTED_VALUE"""),0)</f>
        <v>0</v>
      </c>
      <c r="S18" s="23">
        <f ca="1">IFERROR(__xludf.DUMMYFUNCTION("""COMPUTED_VALUE"""),0)</f>
        <v>0</v>
      </c>
    </row>
    <row r="19" spans="1:19">
      <c r="A19" s="23" t="str">
        <f ca="1">IFERROR(__xludf.DUMMYFUNCTION("""COMPUTED_VALUE"""),"Reignición")</f>
        <v>Reignición</v>
      </c>
      <c r="B19" s="23">
        <f ca="1">IFERROR(__xludf.DUMMYFUNCTION("""COMPUTED_VALUE"""),1)</f>
        <v>1</v>
      </c>
      <c r="C19" s="23"/>
      <c r="D19" s="23" t="str">
        <f ca="1">IFERROR(__xludf.DUMMYFUNCTION("""COMPUTED_VALUE"""),"ASCENDENTE")</f>
        <v>ASCENDENTE</v>
      </c>
      <c r="E19" s="23" t="str">
        <f ca="1">IFERROR(__xludf.DUMMYFUNCTION("""COMPUTED_VALUE"""),"BITACORA OPERATIVA")</f>
        <v>BITACORA OPERATIVA</v>
      </c>
      <c r="F19" s="23">
        <f ca="1">IFERROR(__xludf.DUMMYFUNCTION("""COMPUTED_VALUE"""),0)</f>
        <v>0</v>
      </c>
      <c r="G19" s="23">
        <f ca="1">IFERROR(__xludf.DUMMYFUNCTION("""COMPUTED_VALUE"""),0)</f>
        <v>0</v>
      </c>
      <c r="H19" s="23">
        <f ca="1">IFERROR(__xludf.DUMMYFUNCTION("""COMPUTED_VALUE"""),0)</f>
        <v>0</v>
      </c>
      <c r="I19" s="23">
        <f ca="1">IFERROR(__xludf.DUMMYFUNCTION("""COMPUTED_VALUE"""),0)</f>
        <v>0</v>
      </c>
      <c r="J19" s="23">
        <f ca="1">IFERROR(__xludf.DUMMYFUNCTION("""COMPUTED_VALUE"""),0)</f>
        <v>0</v>
      </c>
      <c r="K19" s="23">
        <f ca="1">IFERROR(__xludf.DUMMYFUNCTION("""COMPUTED_VALUE"""),0)</f>
        <v>0</v>
      </c>
      <c r="L19" s="23">
        <f ca="1">IFERROR(__xludf.DUMMYFUNCTION("""COMPUTED_VALUE"""),0)</f>
        <v>0</v>
      </c>
      <c r="M19" s="23">
        <f ca="1">IFERROR(__xludf.DUMMYFUNCTION("""COMPUTED_VALUE"""),0)</f>
        <v>0</v>
      </c>
      <c r="N19" s="23">
        <f ca="1">IFERROR(__xludf.DUMMYFUNCTION("""COMPUTED_VALUE"""),0)</f>
        <v>0</v>
      </c>
      <c r="O19" s="23">
        <f ca="1">IFERROR(__xludf.DUMMYFUNCTION("""COMPUTED_VALUE"""),0)</f>
        <v>0</v>
      </c>
      <c r="P19" s="23">
        <f ca="1">IFERROR(__xludf.DUMMYFUNCTION("""COMPUTED_VALUE"""),0)</f>
        <v>0</v>
      </c>
      <c r="Q19" s="23">
        <f ca="1">IFERROR(__xludf.DUMMYFUNCTION("""COMPUTED_VALUE"""),0)</f>
        <v>0</v>
      </c>
      <c r="R19" s="23">
        <f ca="1">IFERROR(__xludf.DUMMYFUNCTION("""COMPUTED_VALUE"""),0)</f>
        <v>0</v>
      </c>
      <c r="S19" s="23">
        <f ca="1">IFERROR(__xludf.DUMMYFUNCTION("""COMPUTED_VALUE"""),0)</f>
        <v>0</v>
      </c>
    </row>
    <row r="20" spans="1:19">
      <c r="A20" s="23" t="str">
        <f ca="1">IFERROR(__xludf.DUMMYFUNCTION("""COMPUTED_VALUE"""),"Sobrecalentamiento de motor")</f>
        <v>Sobrecalentamiento de motor</v>
      </c>
      <c r="B20" s="23">
        <f ca="1">IFERROR(__xludf.DUMMYFUNCTION("""COMPUTED_VALUE"""),1)</f>
        <v>1</v>
      </c>
      <c r="C20" s="23"/>
      <c r="D20" s="23" t="str">
        <f ca="1">IFERROR(__xludf.DUMMYFUNCTION("""COMPUTED_VALUE"""),"ASCENDENTE")</f>
        <v>ASCENDENTE</v>
      </c>
      <c r="E20" s="23" t="str">
        <f ca="1">IFERROR(__xludf.DUMMYFUNCTION("""COMPUTED_VALUE"""),"BITACORA OPERATIVA")</f>
        <v>BITACORA OPERATIVA</v>
      </c>
      <c r="F20" s="23">
        <f ca="1">IFERROR(__xludf.DUMMYFUNCTION("""COMPUTED_VALUE"""),0)</f>
        <v>0</v>
      </c>
      <c r="G20" s="23">
        <f ca="1">IFERROR(__xludf.DUMMYFUNCTION("""COMPUTED_VALUE"""),0)</f>
        <v>0</v>
      </c>
      <c r="H20" s="23">
        <f ca="1">IFERROR(__xludf.DUMMYFUNCTION("""COMPUTED_VALUE"""),0)</f>
        <v>0</v>
      </c>
      <c r="I20" s="23">
        <f ca="1">IFERROR(__xludf.DUMMYFUNCTION("""COMPUTED_VALUE"""),0)</f>
        <v>0</v>
      </c>
      <c r="J20" s="23">
        <f ca="1">IFERROR(__xludf.DUMMYFUNCTION("""COMPUTED_VALUE"""),0)</f>
        <v>0</v>
      </c>
      <c r="K20" s="23">
        <f ca="1">IFERROR(__xludf.DUMMYFUNCTION("""COMPUTED_VALUE"""),0)</f>
        <v>0</v>
      </c>
      <c r="L20" s="23">
        <f ca="1">IFERROR(__xludf.DUMMYFUNCTION("""COMPUTED_VALUE"""),0)</f>
        <v>0</v>
      </c>
      <c r="M20" s="23">
        <f ca="1">IFERROR(__xludf.DUMMYFUNCTION("""COMPUTED_VALUE"""),0)</f>
        <v>0</v>
      </c>
      <c r="N20" s="23">
        <f ca="1">IFERROR(__xludf.DUMMYFUNCTION("""COMPUTED_VALUE"""),0)</f>
        <v>0</v>
      </c>
      <c r="O20" s="23">
        <f ca="1">IFERROR(__xludf.DUMMYFUNCTION("""COMPUTED_VALUE"""),0)</f>
        <v>0</v>
      </c>
      <c r="P20" s="23">
        <f ca="1">IFERROR(__xludf.DUMMYFUNCTION("""COMPUTED_VALUE"""),0)</f>
        <v>0</v>
      </c>
      <c r="Q20" s="23">
        <f ca="1">IFERROR(__xludf.DUMMYFUNCTION("""COMPUTED_VALUE"""),0)</f>
        <v>0</v>
      </c>
      <c r="R20" s="23">
        <f ca="1">IFERROR(__xludf.DUMMYFUNCTION("""COMPUTED_VALUE"""),0)</f>
        <v>0</v>
      </c>
      <c r="S20" s="23">
        <f ca="1">IFERROR(__xludf.DUMMYFUNCTION("""COMPUTED_VALUE"""),0)</f>
        <v>0</v>
      </c>
    </row>
    <row r="21" spans="1:19">
      <c r="A21" s="23" t="str">
        <f ca="1">IFERROR(__xludf.DUMMYFUNCTION("""COMPUTED_VALUE"""),"Falsa explosión")</f>
        <v>Falsa explosión</v>
      </c>
      <c r="B21" s="23">
        <f ca="1">IFERROR(__xludf.DUMMYFUNCTION("""COMPUTED_VALUE"""),1)</f>
        <v>1</v>
      </c>
      <c r="C21" s="23"/>
      <c r="D21" s="23" t="str">
        <f ca="1">IFERROR(__xludf.DUMMYFUNCTION("""COMPUTED_VALUE"""),"ASCENDENTE")</f>
        <v>ASCENDENTE</v>
      </c>
      <c r="E21" s="23" t="str">
        <f ca="1">IFERROR(__xludf.DUMMYFUNCTION("""COMPUTED_VALUE"""),"BITACORA OPERATIVA")</f>
        <v>BITACORA OPERATIVA</v>
      </c>
      <c r="F21" s="23">
        <f ca="1">IFERROR(__xludf.DUMMYFUNCTION("""COMPUTED_VALUE"""),0)</f>
        <v>0</v>
      </c>
      <c r="G21" s="23">
        <f ca="1">IFERROR(__xludf.DUMMYFUNCTION("""COMPUTED_VALUE"""),0)</f>
        <v>0</v>
      </c>
      <c r="H21" s="23">
        <f ca="1">IFERROR(__xludf.DUMMYFUNCTION("""COMPUTED_VALUE"""),0)</f>
        <v>0</v>
      </c>
      <c r="I21" s="23">
        <f ca="1">IFERROR(__xludf.DUMMYFUNCTION("""COMPUTED_VALUE"""),0)</f>
        <v>0</v>
      </c>
      <c r="J21" s="23">
        <f ca="1">IFERROR(__xludf.DUMMYFUNCTION("""COMPUTED_VALUE"""),0)</f>
        <v>0</v>
      </c>
      <c r="K21" s="23">
        <f ca="1">IFERROR(__xludf.DUMMYFUNCTION("""COMPUTED_VALUE"""),0)</f>
        <v>0</v>
      </c>
      <c r="L21" s="23">
        <f ca="1">IFERROR(__xludf.DUMMYFUNCTION("""COMPUTED_VALUE"""),0)</f>
        <v>0</v>
      </c>
      <c r="M21" s="23">
        <f ca="1">IFERROR(__xludf.DUMMYFUNCTION("""COMPUTED_VALUE"""),0)</f>
        <v>0</v>
      </c>
      <c r="N21" s="23">
        <f ca="1">IFERROR(__xludf.DUMMYFUNCTION("""COMPUTED_VALUE"""),0)</f>
        <v>0</v>
      </c>
      <c r="O21" s="23">
        <f ca="1">IFERROR(__xludf.DUMMYFUNCTION("""COMPUTED_VALUE"""),0)</f>
        <v>0</v>
      </c>
      <c r="P21" s="23">
        <f ca="1">IFERROR(__xludf.DUMMYFUNCTION("""COMPUTED_VALUE"""),0)</f>
        <v>0</v>
      </c>
      <c r="Q21" s="23">
        <f ca="1">IFERROR(__xludf.DUMMYFUNCTION("""COMPUTED_VALUE"""),0)</f>
        <v>0</v>
      </c>
      <c r="R21" s="23">
        <f ca="1">IFERROR(__xludf.DUMMYFUNCTION("""COMPUTED_VALUE"""),0)</f>
        <v>0</v>
      </c>
      <c r="S21" s="23">
        <f ca="1">IFERROR(__xludf.DUMMYFUNCTION("""COMPUTED_VALUE"""),0)</f>
        <v>0</v>
      </c>
    </row>
    <row r="22" spans="1:19">
      <c r="A22" s="23" t="str">
        <f ca="1">IFERROR(__xludf.DUMMYFUNCTION("""COMPUTED_VALUE"""),"Choque de vehículo")</f>
        <v>Choque de vehículo</v>
      </c>
      <c r="B22" s="23">
        <f ca="1">IFERROR(__xludf.DUMMYFUNCTION("""COMPUTED_VALUE"""),1)</f>
        <v>1</v>
      </c>
      <c r="C22" s="23"/>
      <c r="D22" s="23" t="str">
        <f ca="1">IFERROR(__xludf.DUMMYFUNCTION("""COMPUTED_VALUE"""),"ASCENDENTE")</f>
        <v>ASCENDENTE</v>
      </c>
      <c r="E22" s="23" t="str">
        <f ca="1">IFERROR(__xludf.DUMMYFUNCTION("""COMPUTED_VALUE"""),"BITACORA OPERATIVA")</f>
        <v>BITACORA OPERATIVA</v>
      </c>
      <c r="F22" s="23">
        <f ca="1">IFERROR(__xludf.DUMMYFUNCTION("""COMPUTED_VALUE"""),0)</f>
        <v>0</v>
      </c>
      <c r="G22" s="23">
        <f ca="1">IFERROR(__xludf.DUMMYFUNCTION("""COMPUTED_VALUE"""),0)</f>
        <v>0</v>
      </c>
      <c r="H22" s="23">
        <f ca="1">IFERROR(__xludf.DUMMYFUNCTION("""COMPUTED_VALUE"""),0)</f>
        <v>0</v>
      </c>
      <c r="I22" s="23">
        <f ca="1">IFERROR(__xludf.DUMMYFUNCTION("""COMPUTED_VALUE"""),0)</f>
        <v>0</v>
      </c>
      <c r="J22" s="23">
        <f ca="1">IFERROR(__xludf.DUMMYFUNCTION("""COMPUTED_VALUE"""),0)</f>
        <v>0</v>
      </c>
      <c r="K22" s="23">
        <f ca="1">IFERROR(__xludf.DUMMYFUNCTION("""COMPUTED_VALUE"""),0)</f>
        <v>0</v>
      </c>
      <c r="L22" s="23">
        <f ca="1">IFERROR(__xludf.DUMMYFUNCTION("""COMPUTED_VALUE"""),0)</f>
        <v>0</v>
      </c>
      <c r="M22" s="23">
        <f ca="1">IFERROR(__xludf.DUMMYFUNCTION("""COMPUTED_VALUE"""),0)</f>
        <v>0</v>
      </c>
      <c r="N22" s="23">
        <f ca="1">IFERROR(__xludf.DUMMYFUNCTION("""COMPUTED_VALUE"""),0)</f>
        <v>0</v>
      </c>
      <c r="O22" s="23">
        <f ca="1">IFERROR(__xludf.DUMMYFUNCTION("""COMPUTED_VALUE"""),0)</f>
        <v>0</v>
      </c>
      <c r="P22" s="23">
        <f ca="1">IFERROR(__xludf.DUMMYFUNCTION("""COMPUTED_VALUE"""),0)</f>
        <v>0</v>
      </c>
      <c r="Q22" s="23">
        <f ca="1">IFERROR(__xludf.DUMMYFUNCTION("""COMPUTED_VALUE"""),0)</f>
        <v>0</v>
      </c>
      <c r="R22" s="23">
        <f ca="1">IFERROR(__xludf.DUMMYFUNCTION("""COMPUTED_VALUE"""),0)</f>
        <v>0</v>
      </c>
      <c r="S22" s="23">
        <f ca="1">IFERROR(__xludf.DUMMYFUNCTION("""COMPUTED_VALUE"""),0)</f>
        <v>0</v>
      </c>
    </row>
    <row r="23" spans="1:19">
      <c r="A23" s="23" t="str">
        <f ca="1">IFERROR(__xludf.DUMMYFUNCTION("""COMPUTED_VALUE"""),"Volcamiento vehicular")</f>
        <v>Volcamiento vehicular</v>
      </c>
      <c r="B23" s="23">
        <f ca="1">IFERROR(__xludf.DUMMYFUNCTION("""COMPUTED_VALUE"""),1)</f>
        <v>1</v>
      </c>
      <c r="C23" s="23"/>
      <c r="D23" s="23" t="str">
        <f ca="1">IFERROR(__xludf.DUMMYFUNCTION("""COMPUTED_VALUE"""),"ASCENDENTE")</f>
        <v>ASCENDENTE</v>
      </c>
      <c r="E23" s="23" t="str">
        <f ca="1">IFERROR(__xludf.DUMMYFUNCTION("""COMPUTED_VALUE"""),"BITACORA OPERATIVA")</f>
        <v>BITACORA OPERATIVA</v>
      </c>
      <c r="F23" s="23">
        <f ca="1">IFERROR(__xludf.DUMMYFUNCTION("""COMPUTED_VALUE"""),0)</f>
        <v>0</v>
      </c>
      <c r="G23" s="23">
        <f ca="1">IFERROR(__xludf.DUMMYFUNCTION("""COMPUTED_VALUE"""),0)</f>
        <v>0</v>
      </c>
      <c r="H23" s="23">
        <f ca="1">IFERROR(__xludf.DUMMYFUNCTION("""COMPUTED_VALUE"""),0)</f>
        <v>0</v>
      </c>
      <c r="I23" s="23">
        <f ca="1">IFERROR(__xludf.DUMMYFUNCTION("""COMPUTED_VALUE"""),0)</f>
        <v>0</v>
      </c>
      <c r="J23" s="23">
        <f ca="1">IFERROR(__xludf.DUMMYFUNCTION("""COMPUTED_VALUE"""),0)</f>
        <v>0</v>
      </c>
      <c r="K23" s="23">
        <f ca="1">IFERROR(__xludf.DUMMYFUNCTION("""COMPUTED_VALUE"""),0)</f>
        <v>0</v>
      </c>
      <c r="L23" s="23">
        <f ca="1">IFERROR(__xludf.DUMMYFUNCTION("""COMPUTED_VALUE"""),0)</f>
        <v>0</v>
      </c>
      <c r="M23" s="23">
        <f ca="1">IFERROR(__xludf.DUMMYFUNCTION("""COMPUTED_VALUE"""),0)</f>
        <v>0</v>
      </c>
      <c r="N23" s="23">
        <f ca="1">IFERROR(__xludf.DUMMYFUNCTION("""COMPUTED_VALUE"""),0)</f>
        <v>0</v>
      </c>
      <c r="O23" s="23">
        <f ca="1">IFERROR(__xludf.DUMMYFUNCTION("""COMPUTED_VALUE"""),0)</f>
        <v>0</v>
      </c>
      <c r="P23" s="23">
        <f ca="1">IFERROR(__xludf.DUMMYFUNCTION("""COMPUTED_VALUE"""),0)</f>
        <v>0</v>
      </c>
      <c r="Q23" s="23">
        <f ca="1">IFERROR(__xludf.DUMMYFUNCTION("""COMPUTED_VALUE"""),0)</f>
        <v>0</v>
      </c>
      <c r="R23" s="23">
        <f ca="1">IFERROR(__xludf.DUMMYFUNCTION("""COMPUTED_VALUE"""),0)</f>
        <v>0</v>
      </c>
      <c r="S23" s="23">
        <f ca="1">IFERROR(__xludf.DUMMYFUNCTION("""COMPUTED_VALUE"""),0)</f>
        <v>0</v>
      </c>
    </row>
    <row r="24" spans="1:19">
      <c r="A24" s="23" t="str">
        <f ca="1">IFERROR(__xludf.DUMMYFUNCTION("""COMPUTED_VALUE"""),"Accidentes de tránsito")</f>
        <v>Accidentes de tránsito</v>
      </c>
      <c r="B24" s="23">
        <f ca="1">IFERROR(__xludf.DUMMYFUNCTION("""COMPUTED_VALUE"""),1)</f>
        <v>1</v>
      </c>
      <c r="C24" s="23"/>
      <c r="D24" s="23" t="str">
        <f ca="1">IFERROR(__xludf.DUMMYFUNCTION("""COMPUTED_VALUE"""),"ASCENDENTE")</f>
        <v>ASCENDENTE</v>
      </c>
      <c r="E24" s="23" t="str">
        <f ca="1">IFERROR(__xludf.DUMMYFUNCTION("""COMPUTED_VALUE"""),"BITACORA OPERATIVA")</f>
        <v>BITACORA OPERATIVA</v>
      </c>
      <c r="F24" s="23">
        <f ca="1">IFERROR(__xludf.DUMMYFUNCTION("""COMPUTED_VALUE"""),0)</f>
        <v>0</v>
      </c>
      <c r="G24" s="23">
        <f ca="1">IFERROR(__xludf.DUMMYFUNCTION("""COMPUTED_VALUE"""),0)</f>
        <v>0</v>
      </c>
      <c r="H24" s="23">
        <f ca="1">IFERROR(__xludf.DUMMYFUNCTION("""COMPUTED_VALUE"""),0)</f>
        <v>0</v>
      </c>
      <c r="I24" s="23">
        <f ca="1">IFERROR(__xludf.DUMMYFUNCTION("""COMPUTED_VALUE"""),0)</f>
        <v>0</v>
      </c>
      <c r="J24" s="23">
        <f ca="1">IFERROR(__xludf.DUMMYFUNCTION("""COMPUTED_VALUE"""),0)</f>
        <v>0</v>
      </c>
      <c r="K24" s="23">
        <f ca="1">IFERROR(__xludf.DUMMYFUNCTION("""COMPUTED_VALUE"""),0)</f>
        <v>0</v>
      </c>
      <c r="L24" s="23">
        <f ca="1">IFERROR(__xludf.DUMMYFUNCTION("""COMPUTED_VALUE"""),0)</f>
        <v>0</v>
      </c>
      <c r="M24" s="23">
        <f ca="1">IFERROR(__xludf.DUMMYFUNCTION("""COMPUTED_VALUE"""),0)</f>
        <v>0</v>
      </c>
      <c r="N24" s="23">
        <f ca="1">IFERROR(__xludf.DUMMYFUNCTION("""COMPUTED_VALUE"""),0)</f>
        <v>0</v>
      </c>
      <c r="O24" s="23">
        <f ca="1">IFERROR(__xludf.DUMMYFUNCTION("""COMPUTED_VALUE"""),0)</f>
        <v>0</v>
      </c>
      <c r="P24" s="23">
        <f ca="1">IFERROR(__xludf.DUMMYFUNCTION("""COMPUTED_VALUE"""),0)</f>
        <v>0</v>
      </c>
      <c r="Q24" s="23">
        <f ca="1">IFERROR(__xludf.DUMMYFUNCTION("""COMPUTED_VALUE"""),0)</f>
        <v>0</v>
      </c>
      <c r="R24" s="23">
        <f ca="1">IFERROR(__xludf.DUMMYFUNCTION("""COMPUTED_VALUE"""),0)</f>
        <v>0</v>
      </c>
      <c r="S24" s="23">
        <f ca="1">IFERROR(__xludf.DUMMYFUNCTION("""COMPUTED_VALUE"""),0)</f>
        <v>0</v>
      </c>
    </row>
    <row r="25" spans="1:19">
      <c r="A25" s="23" t="str">
        <f ca="1">IFERROR(__xludf.DUMMYFUNCTION("""COMPUTED_VALUE"""),"Resto de las causas")</f>
        <v>Resto de las causas</v>
      </c>
      <c r="B25" s="23">
        <f ca="1">IFERROR(__xludf.DUMMYFUNCTION("""COMPUTED_VALUE"""),1)</f>
        <v>1</v>
      </c>
      <c r="C25" s="23"/>
      <c r="D25" s="23" t="str">
        <f ca="1">IFERROR(__xludf.DUMMYFUNCTION("""COMPUTED_VALUE"""),"ASCENDENTE")</f>
        <v>ASCENDENTE</v>
      </c>
      <c r="E25" s="23" t="str">
        <f ca="1">IFERROR(__xludf.DUMMYFUNCTION("""COMPUTED_VALUE"""),"BITACORA OPERATIVA")</f>
        <v>BITACORA OPERATIVA</v>
      </c>
      <c r="F25" s="23">
        <f ca="1">IFERROR(__xludf.DUMMYFUNCTION("""COMPUTED_VALUE"""),0)</f>
        <v>0</v>
      </c>
      <c r="G25" s="23">
        <f ca="1">IFERROR(__xludf.DUMMYFUNCTION("""COMPUTED_VALUE"""),0)</f>
        <v>0</v>
      </c>
      <c r="H25" s="23">
        <f ca="1">IFERROR(__xludf.DUMMYFUNCTION("""COMPUTED_VALUE"""),0)</f>
        <v>0</v>
      </c>
      <c r="I25" s="23">
        <f ca="1">IFERROR(__xludf.DUMMYFUNCTION("""COMPUTED_VALUE"""),0)</f>
        <v>0</v>
      </c>
      <c r="J25" s="23">
        <f ca="1">IFERROR(__xludf.DUMMYFUNCTION("""COMPUTED_VALUE"""),0)</f>
        <v>0</v>
      </c>
      <c r="K25" s="23">
        <f ca="1">IFERROR(__xludf.DUMMYFUNCTION("""COMPUTED_VALUE"""),0)</f>
        <v>0</v>
      </c>
      <c r="L25" s="23">
        <f ca="1">IFERROR(__xludf.DUMMYFUNCTION("""COMPUTED_VALUE"""),0)</f>
        <v>0</v>
      </c>
      <c r="M25" s="23">
        <f ca="1">IFERROR(__xludf.DUMMYFUNCTION("""COMPUTED_VALUE"""),0)</f>
        <v>0</v>
      </c>
      <c r="N25" s="23">
        <f ca="1">IFERROR(__xludf.DUMMYFUNCTION("""COMPUTED_VALUE"""),0)</f>
        <v>0</v>
      </c>
      <c r="O25" s="23">
        <f ca="1">IFERROR(__xludf.DUMMYFUNCTION("""COMPUTED_VALUE"""),0)</f>
        <v>0</v>
      </c>
      <c r="P25" s="23">
        <f ca="1">IFERROR(__xludf.DUMMYFUNCTION("""COMPUTED_VALUE"""),0)</f>
        <v>0</v>
      </c>
      <c r="Q25" s="23">
        <f ca="1">IFERROR(__xludf.DUMMYFUNCTION("""COMPUTED_VALUE"""),0)</f>
        <v>0</v>
      </c>
      <c r="R25" s="23">
        <f ca="1">IFERROR(__xludf.DUMMYFUNCTION("""COMPUTED_VALUE"""),0)</f>
        <v>0</v>
      </c>
      <c r="S25" s="23">
        <f ca="1">IFERROR(__xludf.DUMMYFUNCTION("""COMPUTED_VALUE"""),0)</f>
        <v>0</v>
      </c>
    </row>
    <row r="26" spans="1:19">
      <c r="A26" s="23" t="str">
        <f ca="1">IFERROR(__xludf.DUMMYFUNCTION("""COMPUTED_VALUE"""),"Otros")</f>
        <v>Otros</v>
      </c>
      <c r="B26" s="23">
        <f ca="1">IFERROR(__xludf.DUMMYFUNCTION("""COMPUTED_VALUE"""),1)</f>
        <v>1</v>
      </c>
      <c r="C26" s="23"/>
      <c r="D26" s="23" t="str">
        <f ca="1">IFERROR(__xludf.DUMMYFUNCTION("""COMPUTED_VALUE"""),"ASCENDENTE")</f>
        <v>ASCENDENTE</v>
      </c>
      <c r="E26" s="23" t="str">
        <f ca="1">IFERROR(__xludf.DUMMYFUNCTION("""COMPUTED_VALUE"""),"BITACORA OPERATIVA")</f>
        <v>BITACORA OPERATIVA</v>
      </c>
      <c r="F26" s="23">
        <f ca="1">IFERROR(__xludf.DUMMYFUNCTION("""COMPUTED_VALUE"""),0)</f>
        <v>0</v>
      </c>
      <c r="G26" s="23">
        <f ca="1">IFERROR(__xludf.DUMMYFUNCTION("""COMPUTED_VALUE"""),0)</f>
        <v>0</v>
      </c>
      <c r="H26" s="23">
        <f ca="1">IFERROR(__xludf.DUMMYFUNCTION("""COMPUTED_VALUE"""),0)</f>
        <v>0</v>
      </c>
      <c r="I26" s="23">
        <f ca="1">IFERROR(__xludf.DUMMYFUNCTION("""COMPUTED_VALUE"""),0)</f>
        <v>0</v>
      </c>
      <c r="J26" s="23">
        <f ca="1">IFERROR(__xludf.DUMMYFUNCTION("""COMPUTED_VALUE"""),0)</f>
        <v>0</v>
      </c>
      <c r="K26" s="23">
        <f ca="1">IFERROR(__xludf.DUMMYFUNCTION("""COMPUTED_VALUE"""),0)</f>
        <v>0</v>
      </c>
      <c r="L26" s="23">
        <f ca="1">IFERROR(__xludf.DUMMYFUNCTION("""COMPUTED_VALUE"""),0)</f>
        <v>0</v>
      </c>
      <c r="M26" s="23">
        <f ca="1">IFERROR(__xludf.DUMMYFUNCTION("""COMPUTED_VALUE"""),0)</f>
        <v>0</v>
      </c>
      <c r="N26" s="23">
        <f ca="1">IFERROR(__xludf.DUMMYFUNCTION("""COMPUTED_VALUE"""),0)</f>
        <v>0</v>
      </c>
      <c r="O26" s="23">
        <f ca="1">IFERROR(__xludf.DUMMYFUNCTION("""COMPUTED_VALUE"""),0)</f>
        <v>0</v>
      </c>
      <c r="P26" s="23">
        <f ca="1">IFERROR(__xludf.DUMMYFUNCTION("""COMPUTED_VALUE"""),0)</f>
        <v>0</v>
      </c>
      <c r="Q26" s="23">
        <f ca="1">IFERROR(__xludf.DUMMYFUNCTION("""COMPUTED_VALUE"""),0)</f>
        <v>0</v>
      </c>
      <c r="R26" s="23">
        <f ca="1">IFERROR(__xludf.DUMMYFUNCTION("""COMPUTED_VALUE"""),0)</f>
        <v>0</v>
      </c>
      <c r="S26" s="23">
        <f ca="1">IFERROR(__xludf.DUMMYFUNCTION("""COMPUTED_VALUE"""),0)</f>
        <v>0</v>
      </c>
    </row>
    <row r="27" spans="1:19">
      <c r="A27" s="23" t="str">
        <f ca="1">IFERROR(__xludf.DUMMYFUNCTION("""COMPUTED_VALUE"""),"Por accidentes de tránsito")</f>
        <v>Por accidentes de tránsito</v>
      </c>
      <c r="B27" s="23">
        <f ca="1">IFERROR(__xludf.DUMMYFUNCTION("""COMPUTED_VALUE"""),1)</f>
        <v>1</v>
      </c>
      <c r="C27" s="23"/>
      <c r="D27" s="23" t="str">
        <f ca="1">IFERROR(__xludf.DUMMYFUNCTION("""COMPUTED_VALUE"""),"ASCENDENTE")</f>
        <v>ASCENDENTE</v>
      </c>
      <c r="E27" s="23" t="str">
        <f ca="1">IFERROR(__xludf.DUMMYFUNCTION("""COMPUTED_VALUE"""),"BITACORA OPERATIVA")</f>
        <v>BITACORA OPERATIVA</v>
      </c>
      <c r="F27" s="23">
        <f ca="1">IFERROR(__xludf.DUMMYFUNCTION("""COMPUTED_VALUE"""),0)</f>
        <v>0</v>
      </c>
      <c r="G27" s="23">
        <f ca="1">IFERROR(__xludf.DUMMYFUNCTION("""COMPUTED_VALUE"""),0)</f>
        <v>0</v>
      </c>
      <c r="H27" s="23">
        <f ca="1">IFERROR(__xludf.DUMMYFUNCTION("""COMPUTED_VALUE"""),0)</f>
        <v>0</v>
      </c>
      <c r="I27" s="23">
        <f ca="1">IFERROR(__xludf.DUMMYFUNCTION("""COMPUTED_VALUE"""),0)</f>
        <v>0</v>
      </c>
      <c r="J27" s="23">
        <f ca="1">IFERROR(__xludf.DUMMYFUNCTION("""COMPUTED_VALUE"""),0)</f>
        <v>0</v>
      </c>
      <c r="K27" s="23">
        <f ca="1">IFERROR(__xludf.DUMMYFUNCTION("""COMPUTED_VALUE"""),0)</f>
        <v>0</v>
      </c>
      <c r="L27" s="23">
        <f ca="1">IFERROR(__xludf.DUMMYFUNCTION("""COMPUTED_VALUE"""),0)</f>
        <v>0</v>
      </c>
      <c r="M27" s="23">
        <f ca="1">IFERROR(__xludf.DUMMYFUNCTION("""COMPUTED_VALUE"""),0)</f>
        <v>0</v>
      </c>
      <c r="N27" s="23">
        <f ca="1">IFERROR(__xludf.DUMMYFUNCTION("""COMPUTED_VALUE"""),0)</f>
        <v>0</v>
      </c>
      <c r="O27" s="23">
        <f ca="1">IFERROR(__xludf.DUMMYFUNCTION("""COMPUTED_VALUE"""),0)</f>
        <v>0</v>
      </c>
      <c r="P27" s="23">
        <f ca="1">IFERROR(__xludf.DUMMYFUNCTION("""COMPUTED_VALUE"""),0)</f>
        <v>0</v>
      </c>
      <c r="Q27" s="23">
        <f ca="1">IFERROR(__xludf.DUMMYFUNCTION("""COMPUTED_VALUE"""),0)</f>
        <v>0</v>
      </c>
      <c r="R27" s="23">
        <f ca="1">IFERROR(__xludf.DUMMYFUNCTION("""COMPUTED_VALUE"""),0)</f>
        <v>0</v>
      </c>
      <c r="S27" s="23">
        <f ca="1">IFERROR(__xludf.DUMMYFUNCTION("""COMPUTED_VALUE"""),0)</f>
        <v>0</v>
      </c>
    </row>
    <row r="28" spans="1:19">
      <c r="A28" s="23" t="str">
        <f ca="1">IFERROR(__xludf.DUMMYFUNCTION("""COMPUTED_VALUE"""),"Volcadura")</f>
        <v>Volcadura</v>
      </c>
      <c r="B28" s="23">
        <f ca="1">IFERROR(__xludf.DUMMYFUNCTION("""COMPUTED_VALUE"""),1)</f>
        <v>1</v>
      </c>
      <c r="C28" s="23"/>
      <c r="D28" s="23" t="str">
        <f ca="1">IFERROR(__xludf.DUMMYFUNCTION("""COMPUTED_VALUE"""),"ASCENDENTE")</f>
        <v>ASCENDENTE</v>
      </c>
      <c r="E28" s="23" t="str">
        <f ca="1">IFERROR(__xludf.DUMMYFUNCTION("""COMPUTED_VALUE"""),"BITACORA OPERATIVA")</f>
        <v>BITACORA OPERATIVA</v>
      </c>
      <c r="F28" s="23">
        <f ca="1">IFERROR(__xludf.DUMMYFUNCTION("""COMPUTED_VALUE"""),0)</f>
        <v>0</v>
      </c>
      <c r="G28" s="23">
        <f ca="1">IFERROR(__xludf.DUMMYFUNCTION("""COMPUTED_VALUE"""),0)</f>
        <v>0</v>
      </c>
      <c r="H28" s="23">
        <f ca="1">IFERROR(__xludf.DUMMYFUNCTION("""COMPUTED_VALUE"""),0)</f>
        <v>0</v>
      </c>
      <c r="I28" s="23">
        <f ca="1">IFERROR(__xludf.DUMMYFUNCTION("""COMPUTED_VALUE"""),0)</f>
        <v>0</v>
      </c>
      <c r="J28" s="23">
        <f ca="1">IFERROR(__xludf.DUMMYFUNCTION("""COMPUTED_VALUE"""),0)</f>
        <v>0</v>
      </c>
      <c r="K28" s="23">
        <f ca="1">IFERROR(__xludf.DUMMYFUNCTION("""COMPUTED_VALUE"""),0)</f>
        <v>0</v>
      </c>
      <c r="L28" s="23">
        <f ca="1">IFERROR(__xludf.DUMMYFUNCTION("""COMPUTED_VALUE"""),0)</f>
        <v>0</v>
      </c>
      <c r="M28" s="23">
        <f ca="1">IFERROR(__xludf.DUMMYFUNCTION("""COMPUTED_VALUE"""),0)</f>
        <v>0</v>
      </c>
      <c r="N28" s="23">
        <f ca="1">IFERROR(__xludf.DUMMYFUNCTION("""COMPUTED_VALUE"""),0)</f>
        <v>0</v>
      </c>
      <c r="O28" s="23">
        <f ca="1">IFERROR(__xludf.DUMMYFUNCTION("""COMPUTED_VALUE"""),0)</f>
        <v>0</v>
      </c>
      <c r="P28" s="23">
        <f ca="1">IFERROR(__xludf.DUMMYFUNCTION("""COMPUTED_VALUE"""),0)</f>
        <v>0</v>
      </c>
      <c r="Q28" s="23">
        <f ca="1">IFERROR(__xludf.DUMMYFUNCTION("""COMPUTED_VALUE"""),0)</f>
        <v>0</v>
      </c>
      <c r="R28" s="23">
        <f ca="1">IFERROR(__xludf.DUMMYFUNCTION("""COMPUTED_VALUE"""),0)</f>
        <v>0</v>
      </c>
      <c r="S28" s="23">
        <f ca="1">IFERROR(__xludf.DUMMYFUNCTION("""COMPUTED_VALUE"""),0)</f>
        <v>0</v>
      </c>
    </row>
    <row r="29" spans="1:19">
      <c r="A29" s="23" t="str">
        <f ca="1">IFERROR(__xludf.DUMMYFUNCTION("""COMPUTED_VALUE"""),"Utilización de equipo de soldadura")</f>
        <v>Utilización de equipo de soldadura</v>
      </c>
      <c r="B29" s="23">
        <f ca="1">IFERROR(__xludf.DUMMYFUNCTION("""COMPUTED_VALUE"""),1)</f>
        <v>1</v>
      </c>
      <c r="C29" s="23"/>
      <c r="D29" s="23" t="str">
        <f ca="1">IFERROR(__xludf.DUMMYFUNCTION("""COMPUTED_VALUE"""),"ASCENDENTE")</f>
        <v>ASCENDENTE</v>
      </c>
      <c r="E29" s="23" t="str">
        <f ca="1">IFERROR(__xludf.DUMMYFUNCTION("""COMPUTED_VALUE"""),"BITACORA OPERATIVA")</f>
        <v>BITACORA OPERATIVA</v>
      </c>
      <c r="F29" s="23">
        <f ca="1">IFERROR(__xludf.DUMMYFUNCTION("""COMPUTED_VALUE"""),0)</f>
        <v>0</v>
      </c>
      <c r="G29" s="23">
        <f ca="1">IFERROR(__xludf.DUMMYFUNCTION("""COMPUTED_VALUE"""),0)</f>
        <v>0</v>
      </c>
      <c r="H29" s="23">
        <f ca="1">IFERROR(__xludf.DUMMYFUNCTION("""COMPUTED_VALUE"""),0)</f>
        <v>0</v>
      </c>
      <c r="I29" s="23">
        <f ca="1">IFERROR(__xludf.DUMMYFUNCTION("""COMPUTED_VALUE"""),0)</f>
        <v>0</v>
      </c>
      <c r="J29" s="23">
        <f ca="1">IFERROR(__xludf.DUMMYFUNCTION("""COMPUTED_VALUE"""),0)</f>
        <v>0</v>
      </c>
      <c r="K29" s="23">
        <f ca="1">IFERROR(__xludf.DUMMYFUNCTION("""COMPUTED_VALUE"""),0)</f>
        <v>0</v>
      </c>
      <c r="L29" s="23">
        <f ca="1">IFERROR(__xludf.DUMMYFUNCTION("""COMPUTED_VALUE"""),0)</f>
        <v>0</v>
      </c>
      <c r="M29" s="23">
        <f ca="1">IFERROR(__xludf.DUMMYFUNCTION("""COMPUTED_VALUE"""),0)</f>
        <v>0</v>
      </c>
      <c r="N29" s="23">
        <f ca="1">IFERROR(__xludf.DUMMYFUNCTION("""COMPUTED_VALUE"""),0)</f>
        <v>0</v>
      </c>
      <c r="O29" s="23">
        <f ca="1">IFERROR(__xludf.DUMMYFUNCTION("""COMPUTED_VALUE"""),0)</f>
        <v>0</v>
      </c>
      <c r="P29" s="23">
        <f ca="1">IFERROR(__xludf.DUMMYFUNCTION("""COMPUTED_VALUE"""),0)</f>
        <v>0</v>
      </c>
      <c r="Q29" s="23">
        <f ca="1">IFERROR(__xludf.DUMMYFUNCTION("""COMPUTED_VALUE"""),0)</f>
        <v>0</v>
      </c>
      <c r="R29" s="23">
        <f ca="1">IFERROR(__xludf.DUMMYFUNCTION("""COMPUTED_VALUE"""),0)</f>
        <v>0</v>
      </c>
      <c r="S29" s="23">
        <f ca="1">IFERROR(__xludf.DUMMYFUNCTION("""COMPUTED_VALUE"""),0)</f>
        <v>0</v>
      </c>
    </row>
    <row r="30" spans="1:19">
      <c r="A30" s="23" t="str">
        <f ca="1">IFERROR(__xludf.DUMMYFUNCTION("""COMPUTED_VALUE"""),"Utilización incorrecta de equipo de soldadura")</f>
        <v>Utilización incorrecta de equipo de soldadura</v>
      </c>
      <c r="B30" s="23">
        <f ca="1">IFERROR(__xludf.DUMMYFUNCTION("""COMPUTED_VALUE"""),1)</f>
        <v>1</v>
      </c>
      <c r="C30" s="23"/>
      <c r="D30" s="23" t="str">
        <f ca="1">IFERROR(__xludf.DUMMYFUNCTION("""COMPUTED_VALUE"""),"ASCENDENTE")</f>
        <v>ASCENDENTE</v>
      </c>
      <c r="E30" s="23" t="str">
        <f ca="1">IFERROR(__xludf.DUMMYFUNCTION("""COMPUTED_VALUE"""),"BITACORA OPERATIVA")</f>
        <v>BITACORA OPERATIVA</v>
      </c>
      <c r="F30" s="23">
        <f ca="1">IFERROR(__xludf.DUMMYFUNCTION("""COMPUTED_VALUE"""),0)</f>
        <v>0</v>
      </c>
      <c r="G30" s="23">
        <f ca="1">IFERROR(__xludf.DUMMYFUNCTION("""COMPUTED_VALUE"""),0)</f>
        <v>0</v>
      </c>
      <c r="H30" s="23">
        <f ca="1">IFERROR(__xludf.DUMMYFUNCTION("""COMPUTED_VALUE"""),0)</f>
        <v>0</v>
      </c>
      <c r="I30" s="23">
        <f ca="1">IFERROR(__xludf.DUMMYFUNCTION("""COMPUTED_VALUE"""),0)</f>
        <v>0</v>
      </c>
      <c r="J30" s="23">
        <f ca="1">IFERROR(__xludf.DUMMYFUNCTION("""COMPUTED_VALUE"""),0)</f>
        <v>0</v>
      </c>
      <c r="K30" s="23">
        <f ca="1">IFERROR(__xludf.DUMMYFUNCTION("""COMPUTED_VALUE"""),0)</f>
        <v>0</v>
      </c>
      <c r="L30" s="23">
        <f ca="1">IFERROR(__xludf.DUMMYFUNCTION("""COMPUTED_VALUE"""),0)</f>
        <v>0</v>
      </c>
      <c r="M30" s="23">
        <f ca="1">IFERROR(__xludf.DUMMYFUNCTION("""COMPUTED_VALUE"""),0)</f>
        <v>0</v>
      </c>
      <c r="N30" s="23">
        <f ca="1">IFERROR(__xludf.DUMMYFUNCTION("""COMPUTED_VALUE"""),0)</f>
        <v>0</v>
      </c>
      <c r="O30" s="23">
        <f ca="1">IFERROR(__xludf.DUMMYFUNCTION("""COMPUTED_VALUE"""),0)</f>
        <v>0</v>
      </c>
      <c r="P30" s="23">
        <f ca="1">IFERROR(__xludf.DUMMYFUNCTION("""COMPUTED_VALUE"""),0)</f>
        <v>0</v>
      </c>
      <c r="Q30" s="23">
        <f ca="1">IFERROR(__xludf.DUMMYFUNCTION("""COMPUTED_VALUE"""),0)</f>
        <v>0</v>
      </c>
      <c r="R30" s="23">
        <f ca="1">IFERROR(__xludf.DUMMYFUNCTION("""COMPUTED_VALUE"""),0)</f>
        <v>0</v>
      </c>
      <c r="S30" s="23">
        <f ca="1">IFERROR(__xludf.DUMMYFUNCTION("""COMPUTED_VALUE"""),0)</f>
        <v>0</v>
      </c>
    </row>
    <row r="31" spans="1:19">
      <c r="A31" s="23" t="str">
        <f ca="1">IFERROR(__xludf.DUMMYFUNCTION("""COMPUTED_VALUE"""),"Forestal (quema de pastizales)")</f>
        <v>Forestal (quema de pastizales)</v>
      </c>
      <c r="B31" s="23">
        <f ca="1">IFERROR(__xludf.DUMMYFUNCTION("""COMPUTED_VALUE"""),1)</f>
        <v>1</v>
      </c>
      <c r="C31" s="23"/>
      <c r="D31" s="23" t="str">
        <f ca="1">IFERROR(__xludf.DUMMYFUNCTION("""COMPUTED_VALUE"""),"ASCENDENTE")</f>
        <v>ASCENDENTE</v>
      </c>
      <c r="E31" s="23" t="str">
        <f ca="1">IFERROR(__xludf.DUMMYFUNCTION("""COMPUTED_VALUE"""),"BITACORA OPERATIVA")</f>
        <v>BITACORA OPERATIVA</v>
      </c>
      <c r="F31" s="23">
        <f ca="1">IFERROR(__xludf.DUMMYFUNCTION("""COMPUTED_VALUE"""),0)</f>
        <v>0</v>
      </c>
      <c r="G31" s="23">
        <f ca="1">IFERROR(__xludf.DUMMYFUNCTION("""COMPUTED_VALUE"""),0)</f>
        <v>0</v>
      </c>
      <c r="H31" s="23">
        <f ca="1">IFERROR(__xludf.DUMMYFUNCTION("""COMPUTED_VALUE"""),0)</f>
        <v>0</v>
      </c>
      <c r="I31" s="23">
        <f ca="1">IFERROR(__xludf.DUMMYFUNCTION("""COMPUTED_VALUE"""),0)</f>
        <v>0</v>
      </c>
      <c r="J31" s="23">
        <f ca="1">IFERROR(__xludf.DUMMYFUNCTION("""COMPUTED_VALUE"""),0)</f>
        <v>0</v>
      </c>
      <c r="K31" s="23">
        <f ca="1">IFERROR(__xludf.DUMMYFUNCTION("""COMPUTED_VALUE"""),0)</f>
        <v>0</v>
      </c>
      <c r="L31" s="23">
        <f ca="1">IFERROR(__xludf.DUMMYFUNCTION("""COMPUTED_VALUE"""),0)</f>
        <v>0</v>
      </c>
      <c r="M31" s="23">
        <f ca="1">IFERROR(__xludf.DUMMYFUNCTION("""COMPUTED_VALUE"""),0)</f>
        <v>0</v>
      </c>
      <c r="N31" s="23">
        <f ca="1">IFERROR(__xludf.DUMMYFUNCTION("""COMPUTED_VALUE"""),0)</f>
        <v>0</v>
      </c>
      <c r="O31" s="23">
        <f ca="1">IFERROR(__xludf.DUMMYFUNCTION("""COMPUTED_VALUE"""),0)</f>
        <v>0</v>
      </c>
      <c r="P31" s="23">
        <f ca="1">IFERROR(__xludf.DUMMYFUNCTION("""COMPUTED_VALUE"""),0)</f>
        <v>0</v>
      </c>
      <c r="Q31" s="23">
        <f ca="1">IFERROR(__xludf.DUMMYFUNCTION("""COMPUTED_VALUE"""),0)</f>
        <v>0</v>
      </c>
      <c r="R31" s="23">
        <f ca="1">IFERROR(__xludf.DUMMYFUNCTION("""COMPUTED_VALUE"""),0)</f>
        <v>0</v>
      </c>
      <c r="S31" s="23">
        <f ca="1">IFERROR(__xludf.DUMMYFUNCTION("""COMPUTED_VALUE"""),0)</f>
        <v>0</v>
      </c>
    </row>
    <row r="32" spans="1:19">
      <c r="A32" s="23"/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</row>
    <row r="33" spans="1:19">
      <c r="A33" s="23"/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</row>
    <row r="34" spans="1:19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</row>
    <row r="35" spans="1:19">
      <c r="A35" s="23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</row>
    <row r="36" spans="1:19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</row>
    <row r="37" spans="1:19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</row>
    <row r="38" spans="1:19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</row>
    <row r="39" spans="1:19">
      <c r="A39" s="23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</row>
    <row r="40" spans="1:19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</row>
    <row r="41" spans="1:19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</row>
    <row r="42" spans="1:19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</row>
    <row r="43" spans="1:19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</row>
    <row r="44" spans="1:19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</row>
    <row r="45" spans="1:19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</row>
    <row r="46" spans="1:19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</row>
    <row r="47" spans="1:19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</row>
    <row r="48" spans="1:19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</row>
    <row r="49" spans="1:19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</row>
    <row r="50" spans="1:19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</row>
    <row r="51" spans="1:19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</row>
    <row r="52" spans="1:19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</row>
    <row r="53" spans="1:19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</row>
    <row r="54" spans="1:19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</row>
    <row r="55" spans="1:19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</row>
    <row r="56" spans="1:19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</row>
    <row r="57" spans="1:19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</row>
    <row r="58" spans="1:19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</row>
    <row r="59" spans="1:19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</row>
    <row r="60" spans="1:19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</row>
    <row r="61" spans="1:19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</row>
    <row r="62" spans="1:19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</row>
    <row r="63" spans="1:19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</row>
    <row r="64" spans="1:19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</row>
    <row r="65" spans="1:19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</row>
    <row r="66" spans="1:19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</row>
    <row r="67" spans="1:19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</row>
    <row r="68" spans="1:19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</row>
    <row r="69" spans="1:19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</row>
    <row r="70" spans="1:19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</row>
    <row r="71" spans="1:19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</row>
    <row r="72" spans="1:19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</row>
    <row r="73" spans="1:19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</row>
    <row r="74" spans="1:19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</row>
    <row r="75" spans="1:19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</row>
    <row r="76" spans="1:19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</row>
    <row r="77" spans="1:19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</row>
    <row r="78" spans="1:19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</row>
    <row r="79" spans="1:19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</row>
    <row r="80" spans="1:19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</row>
    <row r="81" spans="1:19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</row>
    <row r="82" spans="1:19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</row>
    <row r="83" spans="1:19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</row>
    <row r="84" spans="1:19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</row>
    <row r="85" spans="1:19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</row>
    <row r="86" spans="1:19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</row>
    <row r="87" spans="1:19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</row>
    <row r="88" spans="1:19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</row>
    <row r="89" spans="1:19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</row>
    <row r="90" spans="1:19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</row>
    <row r="91" spans="1:19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</row>
    <row r="92" spans="1:19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</row>
    <row r="93" spans="1:19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</row>
    <row r="94" spans="1:19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</row>
    <row r="95" spans="1:19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</row>
    <row r="96" spans="1:19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</row>
    <row r="97" spans="1:19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</row>
    <row r="98" spans="1:19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</row>
    <row r="99" spans="1:19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</row>
    <row r="100" spans="1:19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</row>
    <row r="101" spans="1:19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</row>
    <row r="102" spans="1:19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</row>
    <row r="103" spans="1:19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</row>
    <row r="104" spans="1:19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</row>
    <row r="105" spans="1:19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</row>
    <row r="106" spans="1:19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</row>
    <row r="107" spans="1:19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</row>
    <row r="108" spans="1:19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</row>
    <row r="109" spans="1:19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</row>
    <row r="110" spans="1:19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</row>
    <row r="111" spans="1:19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</row>
    <row r="112" spans="1:19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</row>
    <row r="113" spans="1:19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</row>
    <row r="114" spans="1:19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</row>
    <row r="115" spans="1:19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</row>
    <row r="116" spans="1:19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</row>
    <row r="117" spans="1:19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</row>
    <row r="118" spans="1:19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</row>
    <row r="119" spans="1:19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</row>
    <row r="120" spans="1:19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</row>
    <row r="121" spans="1:19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</row>
    <row r="122" spans="1:19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</row>
    <row r="123" spans="1:19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</row>
    <row r="124" spans="1:19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</row>
    <row r="125" spans="1:19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</row>
    <row r="126" spans="1:19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</row>
    <row r="127" spans="1:19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</row>
    <row r="128" spans="1:19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</row>
    <row r="129" spans="1:19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</row>
    <row r="130" spans="1:19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</row>
    <row r="131" spans="1:19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</row>
    <row r="132" spans="1:19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</row>
    <row r="133" spans="1:19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</row>
    <row r="134" spans="1:19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</row>
    <row r="135" spans="1:19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</row>
    <row r="136" spans="1:19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</row>
    <row r="137" spans="1:19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</row>
    <row r="138" spans="1:19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</row>
    <row r="139" spans="1:19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</row>
    <row r="140" spans="1:19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</row>
    <row r="141" spans="1:19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</row>
    <row r="142" spans="1:19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</row>
    <row r="143" spans="1:19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</row>
    <row r="144" spans="1:19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</row>
    <row r="145" spans="1:19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</row>
    <row r="146" spans="1:19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</row>
    <row r="147" spans="1:19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</row>
    <row r="148" spans="1:19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</row>
    <row r="149" spans="1:19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</row>
    <row r="150" spans="1:19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</row>
    <row r="151" spans="1:19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</row>
    <row r="152" spans="1:19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</row>
    <row r="153" spans="1:19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</row>
    <row r="154" spans="1:19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</row>
    <row r="155" spans="1:19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</row>
    <row r="156" spans="1:19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</row>
    <row r="157" spans="1:19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</row>
    <row r="158" spans="1:19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</row>
    <row r="159" spans="1:19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</row>
    <row r="160" spans="1:19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</row>
    <row r="161" spans="1:19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</row>
    <row r="162" spans="1:19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</row>
    <row r="163" spans="1:19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</row>
    <row r="164" spans="1:19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</row>
    <row r="165" spans="1:19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</row>
    <row r="166" spans="1:19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</row>
    <row r="167" spans="1:19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</row>
    <row r="168" spans="1:19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</row>
    <row r="169" spans="1:19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</row>
    <row r="170" spans="1:19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</row>
    <row r="171" spans="1:19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</row>
    <row r="172" spans="1:19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</row>
    <row r="173" spans="1:19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</row>
    <row r="174" spans="1:19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</row>
    <row r="175" spans="1:19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</row>
    <row r="176" spans="1:19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</row>
    <row r="177" spans="1:19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</row>
    <row r="178" spans="1:19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</row>
    <row r="179" spans="1:19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</row>
    <row r="180" spans="1:19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</row>
    <row r="181" spans="1:19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</row>
    <row r="182" spans="1:19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</row>
    <row r="183" spans="1:19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</row>
    <row r="184" spans="1:19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</row>
    <row r="185" spans="1:19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</row>
    <row r="186" spans="1:19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</row>
    <row r="187" spans="1:19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</row>
    <row r="188" spans="1:19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</row>
    <row r="189" spans="1:19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</row>
    <row r="190" spans="1:19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</row>
    <row r="191" spans="1:19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</row>
    <row r="192" spans="1:19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</row>
    <row r="193" spans="1:19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</row>
    <row r="194" spans="1:19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</row>
    <row r="195" spans="1:19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</row>
    <row r="196" spans="1:19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</row>
    <row r="197" spans="1:19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</row>
    <row r="198" spans="1:19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</row>
    <row r="199" spans="1:19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</row>
    <row r="200" spans="1:19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</row>
    <row r="201" spans="1:19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</row>
    <row r="202" spans="1:19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</row>
    <row r="203" spans="1:19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</row>
    <row r="204" spans="1:19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</row>
    <row r="205" spans="1:19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</row>
    <row r="206" spans="1:19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</row>
    <row r="207" spans="1:19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</row>
    <row r="208" spans="1:19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</row>
    <row r="209" spans="1:19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</row>
    <row r="210" spans="1:19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</row>
    <row r="211" spans="1:19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</row>
    <row r="212" spans="1:19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</row>
    <row r="213" spans="1:19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</row>
    <row r="214" spans="1:19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</row>
    <row r="215" spans="1:19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</row>
    <row r="216" spans="1:19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</row>
    <row r="217" spans="1:19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</row>
    <row r="218" spans="1:19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</row>
    <row r="219" spans="1:19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</row>
    <row r="220" spans="1:19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</row>
    <row r="221" spans="1:19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</row>
    <row r="222" spans="1:19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</row>
    <row r="223" spans="1:19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</row>
    <row r="224" spans="1:19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</row>
    <row r="225" spans="1:19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</row>
    <row r="226" spans="1:19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</row>
    <row r="227" spans="1:19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</row>
    <row r="228" spans="1:19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</row>
    <row r="229" spans="1:19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</row>
    <row r="230" spans="1:19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</row>
    <row r="231" spans="1:19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</row>
    <row r="232" spans="1:19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</row>
    <row r="233" spans="1:19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</row>
    <row r="234" spans="1:19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</row>
    <row r="235" spans="1:19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</row>
    <row r="236" spans="1:19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</row>
    <row r="237" spans="1:19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</row>
    <row r="238" spans="1:19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</row>
    <row r="239" spans="1:19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</row>
    <row r="240" spans="1:19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</row>
    <row r="241" spans="1:19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</row>
    <row r="242" spans="1:19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</row>
    <row r="243" spans="1:19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</row>
    <row r="244" spans="1:19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</row>
    <row r="245" spans="1:19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</row>
    <row r="246" spans="1:19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</row>
    <row r="247" spans="1:19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</row>
    <row r="248" spans="1:19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</row>
    <row r="249" spans="1:19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</row>
    <row r="250" spans="1:19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</row>
    <row r="251" spans="1:19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</row>
    <row r="252" spans="1:19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</row>
    <row r="253" spans="1:19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</row>
    <row r="254" spans="1:19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</row>
    <row r="255" spans="1:19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</row>
    <row r="256" spans="1:19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</row>
    <row r="257" spans="1:19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</row>
    <row r="258" spans="1:19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</row>
    <row r="259" spans="1:19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</row>
    <row r="260" spans="1:19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</row>
    <row r="261" spans="1:19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</row>
    <row r="262" spans="1:19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</row>
    <row r="263" spans="1:19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</row>
    <row r="264" spans="1:19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</row>
    <row r="265" spans="1:19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</row>
    <row r="266" spans="1:19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</row>
    <row r="267" spans="1:19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</row>
    <row r="268" spans="1:19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</row>
    <row r="269" spans="1:19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</row>
    <row r="270" spans="1:19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</row>
    <row r="271" spans="1:19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</row>
    <row r="272" spans="1:19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</row>
    <row r="273" spans="1:19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</row>
    <row r="274" spans="1:19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</row>
    <row r="275" spans="1:19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</row>
    <row r="276" spans="1:19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</row>
    <row r="277" spans="1:19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</row>
    <row r="278" spans="1:19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</row>
    <row r="279" spans="1:19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</row>
    <row r="280" spans="1:19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</row>
    <row r="281" spans="1:19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</row>
    <row r="282" spans="1:19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</row>
    <row r="283" spans="1:19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</row>
    <row r="284" spans="1:19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</row>
    <row r="285" spans="1:19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</row>
    <row r="286" spans="1:19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</row>
    <row r="287" spans="1:19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</row>
    <row r="288" spans="1:19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</row>
    <row r="289" spans="1:19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</row>
    <row r="290" spans="1:19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</row>
    <row r="291" spans="1:19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</row>
    <row r="292" spans="1:19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</row>
    <row r="293" spans="1:19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</row>
    <row r="294" spans="1:19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</row>
    <row r="295" spans="1:19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</row>
    <row r="296" spans="1:19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</row>
    <row r="297" spans="1:19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</row>
    <row r="298" spans="1:19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</row>
    <row r="299" spans="1:19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</row>
    <row r="300" spans="1:19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</row>
    <row r="301" spans="1:19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</row>
    <row r="302" spans="1:19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</row>
    <row r="303" spans="1:19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</row>
    <row r="304" spans="1:19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</row>
    <row r="305" spans="1:19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</row>
    <row r="306" spans="1:19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</row>
    <row r="307" spans="1:19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</row>
    <row r="308" spans="1:19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</row>
    <row r="309" spans="1:19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</row>
    <row r="310" spans="1:19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</row>
    <row r="311" spans="1:19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</row>
    <row r="312" spans="1:19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</row>
    <row r="313" spans="1:19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</row>
    <row r="314" spans="1:19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</row>
    <row r="315" spans="1:19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</row>
    <row r="316" spans="1:19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</row>
    <row r="317" spans="1:19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</row>
    <row r="318" spans="1:19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</row>
    <row r="319" spans="1:19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</row>
    <row r="320" spans="1:19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</row>
    <row r="321" spans="1:19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</row>
    <row r="322" spans="1:19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</row>
    <row r="323" spans="1:19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</row>
    <row r="324" spans="1:19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</row>
    <row r="325" spans="1:19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</row>
    <row r="326" spans="1:19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</row>
    <row r="327" spans="1:19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</row>
    <row r="328" spans="1:19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</row>
    <row r="329" spans="1:19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</row>
    <row r="330" spans="1:19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</row>
    <row r="331" spans="1:19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</row>
    <row r="332" spans="1:19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</row>
    <row r="333" spans="1:19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</row>
    <row r="334" spans="1:19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</row>
    <row r="335" spans="1:19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</row>
    <row r="336" spans="1:19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</row>
    <row r="337" spans="1:19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</row>
    <row r="338" spans="1:19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</row>
    <row r="339" spans="1:19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</row>
    <row r="340" spans="1:19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</row>
    <row r="341" spans="1:19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</row>
    <row r="342" spans="1:19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</row>
    <row r="343" spans="1:19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</row>
    <row r="344" spans="1:19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</row>
    <row r="345" spans="1:19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</row>
    <row r="346" spans="1:19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</row>
    <row r="347" spans="1:19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</row>
    <row r="348" spans="1:19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</row>
    <row r="349" spans="1:19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</row>
    <row r="350" spans="1:19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</row>
    <row r="351" spans="1:19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</row>
    <row r="352" spans="1:19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</row>
    <row r="353" spans="1:19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</row>
    <row r="354" spans="1:19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</row>
    <row r="355" spans="1:19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</row>
    <row r="356" spans="1:19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</row>
    <row r="357" spans="1:19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</row>
    <row r="358" spans="1:19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</row>
    <row r="359" spans="1:19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</row>
    <row r="360" spans="1:19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</row>
    <row r="361" spans="1:19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</row>
    <row r="362" spans="1:19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</row>
    <row r="363" spans="1:19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</row>
    <row r="364" spans="1:19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</row>
    <row r="365" spans="1:19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</row>
    <row r="366" spans="1:19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</row>
    <row r="367" spans="1:19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</row>
    <row r="368" spans="1:19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</row>
    <row r="369" spans="1:19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</row>
    <row r="370" spans="1:19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</row>
    <row r="371" spans="1:19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</row>
    <row r="372" spans="1:19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</row>
    <row r="373" spans="1:19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</row>
    <row r="374" spans="1:19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</row>
    <row r="375" spans="1:19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</row>
    <row r="376" spans="1:19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</row>
    <row r="377" spans="1:19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</row>
    <row r="378" spans="1:19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</row>
    <row r="379" spans="1:19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</row>
    <row r="380" spans="1:19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</row>
    <row r="381" spans="1:19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</row>
    <row r="382" spans="1:19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</row>
    <row r="383" spans="1:19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</row>
    <row r="384" spans="1:19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</row>
    <row r="385" spans="1:19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</row>
    <row r="386" spans="1:19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</row>
    <row r="387" spans="1:19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</row>
    <row r="388" spans="1:19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</row>
    <row r="389" spans="1:19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</row>
    <row r="390" spans="1:19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</row>
    <row r="391" spans="1:19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</row>
    <row r="392" spans="1:19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</row>
    <row r="393" spans="1:19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</row>
    <row r="394" spans="1:19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</row>
    <row r="395" spans="1:19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</row>
    <row r="396" spans="1:19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</row>
    <row r="397" spans="1:19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</row>
    <row r="398" spans="1:19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</row>
    <row r="399" spans="1:19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</row>
    <row r="400" spans="1:19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</row>
    <row r="401" spans="1:19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</row>
    <row r="402" spans="1:19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</row>
    <row r="403" spans="1:19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</row>
    <row r="404" spans="1:19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</row>
    <row r="405" spans="1:19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</row>
    <row r="406" spans="1:19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</row>
    <row r="407" spans="1:19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</row>
    <row r="408" spans="1:19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</row>
    <row r="409" spans="1:19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</row>
    <row r="410" spans="1:19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</row>
    <row r="411" spans="1:19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</row>
    <row r="412" spans="1:19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</row>
    <row r="413" spans="1:19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</row>
    <row r="414" spans="1:19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</row>
    <row r="415" spans="1:19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</row>
    <row r="416" spans="1:19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</row>
    <row r="417" spans="1:19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</row>
    <row r="418" spans="1:19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</row>
    <row r="419" spans="1:19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</row>
    <row r="420" spans="1:19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</row>
    <row r="421" spans="1:19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</row>
    <row r="422" spans="1:19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</row>
    <row r="423" spans="1:19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</row>
    <row r="424" spans="1:19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</row>
    <row r="425" spans="1:19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</row>
    <row r="426" spans="1:19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</row>
    <row r="427" spans="1:19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</row>
    <row r="428" spans="1:19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</row>
    <row r="429" spans="1:19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</row>
    <row r="430" spans="1:19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</row>
    <row r="431" spans="1:19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</row>
    <row r="432" spans="1:19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</row>
    <row r="433" spans="1:19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</row>
    <row r="434" spans="1:19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</row>
    <row r="435" spans="1:19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</row>
    <row r="436" spans="1:19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</row>
    <row r="437" spans="1:19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</row>
    <row r="438" spans="1:19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</row>
    <row r="439" spans="1:19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</row>
    <row r="440" spans="1:19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</row>
    <row r="441" spans="1:19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</row>
    <row r="442" spans="1:19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</row>
    <row r="443" spans="1:19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</row>
    <row r="444" spans="1:19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</row>
    <row r="445" spans="1:19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</row>
    <row r="446" spans="1:19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</row>
    <row r="447" spans="1:19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</row>
    <row r="448" spans="1:19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</row>
    <row r="449" spans="1:19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</row>
    <row r="450" spans="1:19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</row>
    <row r="451" spans="1:19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</row>
    <row r="452" spans="1:19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</row>
    <row r="453" spans="1:19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</row>
    <row r="454" spans="1:19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</row>
    <row r="455" spans="1:19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</row>
    <row r="456" spans="1:19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</row>
    <row r="457" spans="1:19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</row>
    <row r="458" spans="1:19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</row>
    <row r="459" spans="1:19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</row>
    <row r="460" spans="1:19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</row>
    <row r="461" spans="1:19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</row>
    <row r="462" spans="1:19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</row>
    <row r="463" spans="1:19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</row>
    <row r="464" spans="1:19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</row>
    <row r="465" spans="1:19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</row>
    <row r="466" spans="1:19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</row>
    <row r="467" spans="1:19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</row>
    <row r="468" spans="1:19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</row>
    <row r="469" spans="1:19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</row>
    <row r="470" spans="1:19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</row>
    <row r="471" spans="1:19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</row>
    <row r="472" spans="1:19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</row>
    <row r="473" spans="1:19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</row>
    <row r="474" spans="1:19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</row>
    <row r="475" spans="1:19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</row>
    <row r="476" spans="1:19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</row>
    <row r="477" spans="1:19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</row>
    <row r="478" spans="1:19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</row>
    <row r="479" spans="1:19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</row>
    <row r="480" spans="1:19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</row>
    <row r="481" spans="1:19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</row>
    <row r="482" spans="1:19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</row>
    <row r="483" spans="1:19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</row>
    <row r="484" spans="1:19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</row>
    <row r="485" spans="1:19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</row>
    <row r="486" spans="1:19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</row>
    <row r="487" spans="1:19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</row>
    <row r="488" spans="1:19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</row>
    <row r="489" spans="1:19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</row>
    <row r="490" spans="1:19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</row>
    <row r="491" spans="1:19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</row>
    <row r="492" spans="1:19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</row>
    <row r="493" spans="1:19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</row>
    <row r="494" spans="1:19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</row>
    <row r="495" spans="1:19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</row>
    <row r="496" spans="1:19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</row>
    <row r="497" spans="1:19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</row>
    <row r="498" spans="1:19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</row>
    <row r="499" spans="1:19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</row>
    <row r="500" spans="1:19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</row>
    <row r="501" spans="1:19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</row>
    <row r="502" spans="1:19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</row>
    <row r="503" spans="1:19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</row>
    <row r="504" spans="1:19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</row>
    <row r="505" spans="1:19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</row>
    <row r="506" spans="1:19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</row>
    <row r="507" spans="1:19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</row>
    <row r="508" spans="1:19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</row>
    <row r="509" spans="1:19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</row>
    <row r="510" spans="1:19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</row>
    <row r="511" spans="1:19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</row>
    <row r="512" spans="1:19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</row>
    <row r="513" spans="1:19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</row>
    <row r="514" spans="1:19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</row>
    <row r="515" spans="1:19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</row>
    <row r="516" spans="1:19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</row>
    <row r="517" spans="1:19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</row>
    <row r="518" spans="1:19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</row>
    <row r="519" spans="1:19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</row>
    <row r="520" spans="1:19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</row>
    <row r="521" spans="1:19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</row>
    <row r="522" spans="1:19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</row>
    <row r="523" spans="1:19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</row>
    <row r="524" spans="1:19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</row>
    <row r="525" spans="1:19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</row>
    <row r="526" spans="1:19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</row>
    <row r="527" spans="1:19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</row>
    <row r="528" spans="1:19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</row>
    <row r="529" spans="1:19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</row>
    <row r="530" spans="1:19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</row>
    <row r="531" spans="1:19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</row>
    <row r="532" spans="1:19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</row>
    <row r="533" spans="1:19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</row>
    <row r="534" spans="1:19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</row>
    <row r="535" spans="1:19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</row>
    <row r="536" spans="1:19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</row>
    <row r="537" spans="1:19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</row>
    <row r="538" spans="1:19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</row>
    <row r="539" spans="1:19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</row>
    <row r="540" spans="1:19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</row>
    <row r="541" spans="1:19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</row>
    <row r="542" spans="1:19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</row>
    <row r="543" spans="1:19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</row>
    <row r="544" spans="1:19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</row>
    <row r="545" spans="1:19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</row>
    <row r="546" spans="1:19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</row>
    <row r="547" spans="1:19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</row>
    <row r="548" spans="1:19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</row>
    <row r="549" spans="1:19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</row>
    <row r="550" spans="1:19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</row>
    <row r="551" spans="1:19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</row>
    <row r="552" spans="1:19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</row>
    <row r="553" spans="1:19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</row>
    <row r="554" spans="1:19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</row>
    <row r="555" spans="1:19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</row>
    <row r="556" spans="1:19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</row>
    <row r="557" spans="1:19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</row>
    <row r="558" spans="1:19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</row>
    <row r="559" spans="1:19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</row>
    <row r="560" spans="1:19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</row>
    <row r="561" spans="1:19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</row>
    <row r="562" spans="1:19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</row>
    <row r="563" spans="1:19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</row>
    <row r="564" spans="1:19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</row>
    <row r="565" spans="1:19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</row>
    <row r="566" spans="1:19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</row>
    <row r="567" spans="1:19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</row>
    <row r="568" spans="1:19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</row>
    <row r="569" spans="1:19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</row>
    <row r="570" spans="1:19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</row>
    <row r="571" spans="1:19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</row>
    <row r="572" spans="1:19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</row>
    <row r="573" spans="1:19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</row>
    <row r="574" spans="1:19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</row>
    <row r="575" spans="1:19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</row>
    <row r="576" spans="1:19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</row>
    <row r="577" spans="1:19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</row>
    <row r="578" spans="1:19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</row>
    <row r="579" spans="1:19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</row>
    <row r="580" spans="1:19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</row>
    <row r="581" spans="1:19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</row>
    <row r="582" spans="1:19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</row>
    <row r="583" spans="1:19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</row>
    <row r="584" spans="1:19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</row>
    <row r="585" spans="1:19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</row>
    <row r="586" spans="1:19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</row>
    <row r="587" spans="1:19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</row>
    <row r="588" spans="1:19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</row>
    <row r="589" spans="1:19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</row>
    <row r="590" spans="1:19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</row>
    <row r="591" spans="1:19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</row>
    <row r="592" spans="1:19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</row>
    <row r="593" spans="1:19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</row>
    <row r="594" spans="1:19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</row>
    <row r="595" spans="1:19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</row>
    <row r="596" spans="1:19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</row>
    <row r="597" spans="1:19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</row>
    <row r="598" spans="1:19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</row>
    <row r="599" spans="1:19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</row>
    <row r="600" spans="1:19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</row>
    <row r="601" spans="1:19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</row>
    <row r="602" spans="1:19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</row>
    <row r="603" spans="1:19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</row>
    <row r="604" spans="1:19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</row>
    <row r="605" spans="1:19">
      <c r="A605" s="23"/>
      <c r="B605" s="23"/>
      <c r="C605" s="23"/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</row>
    <row r="606" spans="1:19">
      <c r="A606" s="23"/>
      <c r="B606" s="23"/>
      <c r="C606" s="23"/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</row>
    <row r="607" spans="1:19">
      <c r="A607" s="23"/>
      <c r="B607" s="23"/>
      <c r="C607" s="23"/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</row>
    <row r="608" spans="1:19">
      <c r="A608" s="23"/>
      <c r="B608" s="23"/>
      <c r="C608" s="23"/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</row>
    <row r="609" spans="1:19">
      <c r="A609" s="23"/>
      <c r="B609" s="23"/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</row>
    <row r="610" spans="1:19">
      <c r="A610" s="23"/>
      <c r="B610" s="23"/>
      <c r="C610" s="23"/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</row>
    <row r="611" spans="1:19">
      <c r="A611" s="23"/>
      <c r="B611" s="23"/>
      <c r="C611" s="23"/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</row>
    <row r="612" spans="1:19">
      <c r="A612" s="23"/>
      <c r="B612" s="23"/>
      <c r="C612" s="23"/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</row>
    <row r="613" spans="1:19">
      <c r="A613" s="23"/>
      <c r="B613" s="23"/>
      <c r="C613" s="23"/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</row>
    <row r="614" spans="1:19">
      <c r="A614" s="23"/>
      <c r="B614" s="23"/>
      <c r="C614" s="23"/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</row>
    <row r="615" spans="1:19">
      <c r="A615" s="23"/>
      <c r="B615" s="23"/>
      <c r="C615" s="23"/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</row>
    <row r="616" spans="1:19">
      <c r="A616" s="23"/>
      <c r="B616" s="23"/>
      <c r="C616" s="23"/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</row>
    <row r="617" spans="1:19">
      <c r="A617" s="23"/>
      <c r="B617" s="23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</row>
    <row r="618" spans="1:19">
      <c r="A618" s="23"/>
      <c r="B618" s="23"/>
      <c r="C618" s="23"/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</row>
    <row r="619" spans="1:19">
      <c r="A619" s="23"/>
      <c r="B619" s="23"/>
      <c r="C619" s="23"/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</row>
    <row r="620" spans="1:19">
      <c r="A620" s="23"/>
      <c r="B620" s="23"/>
      <c r="C620" s="23"/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</row>
    <row r="621" spans="1:19">
      <c r="A621" s="23"/>
      <c r="B621" s="23"/>
      <c r="C621" s="23"/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</row>
    <row r="622" spans="1:19">
      <c r="A622" s="23"/>
      <c r="B622" s="23"/>
      <c r="C622" s="23"/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</row>
    <row r="623" spans="1:19">
      <c r="A623" s="23"/>
      <c r="B623" s="23"/>
      <c r="C623" s="23"/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</row>
    <row r="624" spans="1:19">
      <c r="A624" s="23"/>
      <c r="B624" s="23"/>
      <c r="C624" s="23"/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</row>
    <row r="625" spans="1:19">
      <c r="A625" s="23"/>
      <c r="B625" s="23"/>
      <c r="C625" s="23"/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</row>
    <row r="626" spans="1:19">
      <c r="A626" s="23"/>
      <c r="B626" s="23"/>
      <c r="C626" s="23"/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</row>
    <row r="627" spans="1:19">
      <c r="A627" s="23"/>
      <c r="B627" s="23"/>
      <c r="C627" s="23"/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</row>
    <row r="628" spans="1:19">
      <c r="A628" s="23"/>
      <c r="B628" s="23"/>
      <c r="C628" s="23"/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</row>
    <row r="629" spans="1:19">
      <c r="A629" s="23"/>
      <c r="B629" s="23"/>
      <c r="C629" s="23"/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</row>
    <row r="630" spans="1:19">
      <c r="A630" s="23"/>
      <c r="B630" s="23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</row>
    <row r="631" spans="1:19">
      <c r="A631" s="23"/>
      <c r="B631" s="23"/>
      <c r="C631" s="23"/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</row>
    <row r="632" spans="1:19">
      <c r="A632" s="23"/>
      <c r="B632" s="23"/>
      <c r="C632" s="23"/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</row>
    <row r="633" spans="1:19">
      <c r="A633" s="23"/>
      <c r="B633" s="23"/>
      <c r="C633" s="23"/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</row>
    <row r="634" spans="1:19">
      <c r="A634" s="23"/>
      <c r="B634" s="23"/>
      <c r="C634" s="23"/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</row>
    <row r="635" spans="1:19">
      <c r="A635" s="23"/>
      <c r="B635" s="23"/>
      <c r="C635" s="23"/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</row>
    <row r="636" spans="1:19">
      <c r="A636" s="23"/>
      <c r="B636" s="23"/>
      <c r="C636" s="23"/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</row>
    <row r="637" spans="1:19">
      <c r="A637" s="23"/>
      <c r="B637" s="23"/>
      <c r="C637" s="23"/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</row>
    <row r="638" spans="1:19">
      <c r="A638" s="23"/>
      <c r="B638" s="23"/>
      <c r="C638" s="23"/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</row>
    <row r="639" spans="1:19">
      <c r="A639" s="23"/>
      <c r="B639" s="23"/>
      <c r="C639" s="23"/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</row>
    <row r="640" spans="1:19">
      <c r="A640" s="23"/>
      <c r="B640" s="23"/>
      <c r="C640" s="23"/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</row>
    <row r="641" spans="1:19">
      <c r="A641" s="23"/>
      <c r="B641" s="23"/>
      <c r="C641" s="23"/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</row>
    <row r="642" spans="1:19">
      <c r="A642" s="23"/>
      <c r="B642" s="23"/>
      <c r="C642" s="23"/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</row>
    <row r="643" spans="1:19">
      <c r="A643" s="23"/>
      <c r="B643" s="23"/>
      <c r="C643" s="23"/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</row>
    <row r="644" spans="1:19">
      <c r="A644" s="23"/>
      <c r="B644" s="23"/>
      <c r="C644" s="23"/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</row>
    <row r="645" spans="1:19">
      <c r="A645" s="23"/>
      <c r="B645" s="23"/>
      <c r="C645" s="23"/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</row>
    <row r="646" spans="1:19">
      <c r="A646" s="23"/>
      <c r="B646" s="23"/>
      <c r="C646" s="23"/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</row>
    <row r="647" spans="1:19">
      <c r="A647" s="23"/>
      <c r="B647" s="23"/>
      <c r="C647" s="23"/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</row>
    <row r="648" spans="1:19">
      <c r="A648" s="23"/>
      <c r="B648" s="23"/>
      <c r="C648" s="23"/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</row>
    <row r="649" spans="1:19">
      <c r="A649" s="23"/>
      <c r="B649" s="23"/>
      <c r="C649" s="23"/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</row>
    <row r="650" spans="1:19">
      <c r="A650" s="23"/>
      <c r="B650" s="23"/>
      <c r="C650" s="23"/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</row>
    <row r="651" spans="1:19">
      <c r="A651" s="23"/>
      <c r="B651" s="23"/>
      <c r="C651" s="23"/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</row>
    <row r="652" spans="1:19">
      <c r="A652" s="23"/>
      <c r="B652" s="23"/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</row>
    <row r="653" spans="1:19">
      <c r="A653" s="23"/>
      <c r="B653" s="23"/>
      <c r="C653" s="23"/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</row>
    <row r="654" spans="1:19">
      <c r="A654" s="23"/>
      <c r="B654" s="23"/>
      <c r="C654" s="23"/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</row>
    <row r="655" spans="1:19">
      <c r="A655" s="23"/>
      <c r="B655" s="23"/>
      <c r="C655" s="23"/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</row>
    <row r="656" spans="1:19">
      <c r="A656" s="23"/>
      <c r="B656" s="23"/>
      <c r="C656" s="23"/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</row>
    <row r="657" spans="1:19">
      <c r="A657" s="23"/>
      <c r="B657" s="23"/>
      <c r="C657" s="23"/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</row>
    <row r="658" spans="1:19">
      <c r="A658" s="23"/>
      <c r="B658" s="23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</row>
    <row r="659" spans="1:19">
      <c r="A659" s="23"/>
      <c r="B659" s="23"/>
      <c r="C659" s="23"/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</row>
    <row r="660" spans="1:19">
      <c r="A660" s="23"/>
      <c r="B660" s="23"/>
      <c r="C660" s="23"/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</row>
    <row r="661" spans="1:19">
      <c r="A661" s="23"/>
      <c r="B661" s="23"/>
      <c r="C661" s="23"/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</row>
    <row r="662" spans="1:19">
      <c r="A662" s="23"/>
      <c r="B662" s="23"/>
      <c r="C662" s="23"/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</row>
    <row r="663" spans="1:19">
      <c r="A663" s="23"/>
      <c r="B663" s="23"/>
      <c r="C663" s="23"/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</row>
    <row r="664" spans="1:19">
      <c r="A664" s="23"/>
      <c r="B664" s="23"/>
      <c r="C664" s="23"/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</row>
    <row r="665" spans="1:19">
      <c r="A665" s="23"/>
      <c r="B665" s="23"/>
      <c r="C665" s="23"/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</row>
    <row r="666" spans="1:19">
      <c r="A666" s="23"/>
      <c r="B666" s="23"/>
      <c r="C666" s="23"/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</row>
    <row r="667" spans="1:19">
      <c r="A667" s="23"/>
      <c r="B667" s="23"/>
      <c r="C667" s="23"/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</row>
    <row r="668" spans="1:19">
      <c r="A668" s="23"/>
      <c r="B668" s="23"/>
      <c r="C668" s="23"/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</row>
    <row r="669" spans="1:19">
      <c r="A669" s="23"/>
      <c r="B669" s="23"/>
      <c r="C669" s="23"/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</row>
    <row r="670" spans="1:19">
      <c r="A670" s="23"/>
      <c r="B670" s="23"/>
      <c r="C670" s="23"/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</row>
    <row r="671" spans="1:19">
      <c r="A671" s="23"/>
      <c r="B671" s="23"/>
      <c r="C671" s="23"/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</row>
    <row r="672" spans="1:19">
      <c r="A672" s="23"/>
      <c r="B672" s="23"/>
      <c r="C672" s="23"/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</row>
    <row r="673" spans="1:19">
      <c r="A673" s="23"/>
      <c r="B673" s="23"/>
      <c r="C673" s="23"/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</row>
    <row r="674" spans="1:19">
      <c r="A674" s="23"/>
      <c r="B674" s="23"/>
      <c r="C674" s="23"/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</row>
    <row r="675" spans="1:19">
      <c r="A675" s="23"/>
      <c r="B675" s="23"/>
      <c r="C675" s="23"/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</row>
    <row r="676" spans="1:19">
      <c r="A676" s="23"/>
      <c r="B676" s="23"/>
      <c r="C676" s="23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</row>
    <row r="677" spans="1:19">
      <c r="A677" s="23"/>
      <c r="B677" s="23"/>
      <c r="C677" s="23"/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</row>
    <row r="678" spans="1:19">
      <c r="A678" s="23"/>
      <c r="B678" s="23"/>
      <c r="C678" s="23"/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</row>
    <row r="679" spans="1:19">
      <c r="A679" s="23"/>
      <c r="B679" s="23"/>
      <c r="C679" s="23"/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</row>
    <row r="680" spans="1:19">
      <c r="A680" s="23"/>
      <c r="B680" s="23"/>
      <c r="C680" s="23"/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</row>
    <row r="681" spans="1:19">
      <c r="A681" s="23"/>
      <c r="B681" s="23"/>
      <c r="C681" s="23"/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</row>
    <row r="682" spans="1:19">
      <c r="A682" s="23"/>
      <c r="B682" s="23"/>
      <c r="C682" s="23"/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</row>
    <row r="683" spans="1:19">
      <c r="A683" s="23"/>
      <c r="B683" s="23"/>
      <c r="C683" s="23"/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</row>
    <row r="684" spans="1:19">
      <c r="A684" s="23"/>
      <c r="B684" s="23"/>
      <c r="C684" s="23"/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</row>
    <row r="685" spans="1:19">
      <c r="A685" s="23"/>
      <c r="B685" s="23"/>
      <c r="C685" s="23"/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</row>
    <row r="686" spans="1:19">
      <c r="A686" s="23"/>
      <c r="B686" s="23"/>
      <c r="C686" s="23"/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</row>
    <row r="687" spans="1:19">
      <c r="A687" s="23"/>
      <c r="B687" s="23"/>
      <c r="C687" s="23"/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</row>
    <row r="688" spans="1:19">
      <c r="A688" s="23"/>
      <c r="B688" s="23"/>
      <c r="C688" s="23"/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</row>
    <row r="689" spans="1:19">
      <c r="A689" s="23"/>
      <c r="B689" s="23"/>
      <c r="C689" s="23"/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</row>
    <row r="690" spans="1:19">
      <c r="A690" s="23"/>
      <c r="B690" s="23"/>
      <c r="C690" s="23"/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</row>
    <row r="691" spans="1:19">
      <c r="A691" s="23"/>
      <c r="B691" s="23"/>
      <c r="C691" s="23"/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</row>
    <row r="692" spans="1:19">
      <c r="A692" s="23"/>
      <c r="B692" s="23"/>
      <c r="C692" s="23"/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</row>
    <row r="693" spans="1:19">
      <c r="A693" s="23"/>
      <c r="B693" s="23"/>
      <c r="C693" s="23"/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</row>
    <row r="694" spans="1:19">
      <c r="A694" s="23"/>
      <c r="B694" s="23"/>
      <c r="C694" s="23"/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</row>
    <row r="695" spans="1:19">
      <c r="A695" s="23"/>
      <c r="B695" s="23"/>
      <c r="C695" s="23"/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</row>
    <row r="696" spans="1:19">
      <c r="A696" s="23"/>
      <c r="B696" s="23"/>
      <c r="C696" s="23"/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</row>
    <row r="697" spans="1:19">
      <c r="A697" s="23"/>
      <c r="B697" s="23"/>
      <c r="C697" s="23"/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</row>
    <row r="698" spans="1:19">
      <c r="A698" s="23"/>
      <c r="B698" s="23"/>
      <c r="C698" s="23"/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</row>
    <row r="699" spans="1:19">
      <c r="A699" s="23"/>
      <c r="B699" s="23"/>
      <c r="C699" s="23"/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</row>
    <row r="700" spans="1:19">
      <c r="A700" s="23"/>
      <c r="B700" s="23"/>
      <c r="C700" s="23"/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</row>
    <row r="701" spans="1:19">
      <c r="A701" s="23"/>
      <c r="B701" s="23"/>
      <c r="C701" s="23"/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</row>
    <row r="702" spans="1:19">
      <c r="A702" s="23"/>
      <c r="B702" s="23"/>
      <c r="C702" s="23"/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</row>
    <row r="703" spans="1:19">
      <c r="A703" s="23"/>
      <c r="B703" s="23"/>
      <c r="C703" s="23"/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</row>
    <row r="704" spans="1:19">
      <c r="A704" s="23"/>
      <c r="B704" s="23"/>
      <c r="C704" s="23"/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</row>
    <row r="705" spans="1:19">
      <c r="A705" s="23"/>
      <c r="B705" s="23"/>
      <c r="C705" s="23"/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</row>
    <row r="706" spans="1:19">
      <c r="A706" s="23"/>
      <c r="B706" s="23"/>
      <c r="C706" s="23"/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</row>
    <row r="707" spans="1:19">
      <c r="A707" s="23"/>
      <c r="B707" s="23"/>
      <c r="C707" s="23"/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</row>
    <row r="708" spans="1:19">
      <c r="A708" s="23"/>
      <c r="B708" s="23"/>
      <c r="C708" s="23"/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</row>
    <row r="709" spans="1:19">
      <c r="A709" s="23"/>
      <c r="B709" s="23"/>
      <c r="C709" s="23"/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</row>
    <row r="710" spans="1:19">
      <c r="A710" s="23"/>
      <c r="B710" s="23"/>
      <c r="C710" s="23"/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</row>
    <row r="711" spans="1:19">
      <c r="A711" s="23"/>
      <c r="B711" s="23"/>
      <c r="C711" s="23"/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</row>
    <row r="712" spans="1:19">
      <c r="A712" s="23"/>
      <c r="B712" s="23"/>
      <c r="C712" s="23"/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</row>
    <row r="713" spans="1:19">
      <c r="A713" s="23"/>
      <c r="B713" s="23"/>
      <c r="C713" s="23"/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</row>
    <row r="714" spans="1:19">
      <c r="A714" s="23"/>
      <c r="B714" s="23"/>
      <c r="C714" s="23"/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</row>
    <row r="715" spans="1:19">
      <c r="A715" s="23"/>
      <c r="B715" s="23"/>
      <c r="C715" s="23"/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</row>
    <row r="716" spans="1:19">
      <c r="A716" s="23"/>
      <c r="B716" s="23"/>
      <c r="C716" s="23"/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</row>
    <row r="717" spans="1:19">
      <c r="A717" s="23"/>
      <c r="B717" s="23"/>
      <c r="C717" s="23"/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</row>
    <row r="718" spans="1:19">
      <c r="A718" s="23"/>
      <c r="B718" s="23"/>
      <c r="C718" s="23"/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</row>
    <row r="719" spans="1:19">
      <c r="A719" s="23"/>
      <c r="B719" s="23"/>
      <c r="C719" s="23"/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</row>
    <row r="720" spans="1:19">
      <c r="A720" s="23"/>
      <c r="B720" s="23"/>
      <c r="C720" s="23"/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</row>
    <row r="721" spans="1:19">
      <c r="A721" s="23"/>
      <c r="B721" s="23"/>
      <c r="C721" s="23"/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</row>
    <row r="722" spans="1:19">
      <c r="A722" s="23"/>
      <c r="B722" s="23"/>
      <c r="C722" s="23"/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</row>
    <row r="723" spans="1:19">
      <c r="A723" s="23"/>
      <c r="B723" s="23"/>
      <c r="C723" s="23"/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</row>
    <row r="724" spans="1:19">
      <c r="A724" s="23"/>
      <c r="B724" s="23"/>
      <c r="C724" s="23"/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</row>
    <row r="725" spans="1:19">
      <c r="A725" s="23"/>
      <c r="B725" s="23"/>
      <c r="C725" s="23"/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</row>
    <row r="726" spans="1:19">
      <c r="A726" s="23"/>
      <c r="B726" s="23"/>
      <c r="C726" s="23"/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</row>
    <row r="727" spans="1:19">
      <c r="A727" s="23"/>
      <c r="B727" s="23"/>
      <c r="C727" s="23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</row>
    <row r="728" spans="1:19">
      <c r="A728" s="23"/>
      <c r="B728" s="23"/>
      <c r="C728" s="23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</row>
    <row r="729" spans="1:19">
      <c r="A729" s="23"/>
      <c r="B729" s="23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</row>
    <row r="730" spans="1:19">
      <c r="A730" s="23"/>
      <c r="B730" s="23"/>
      <c r="C730" s="23"/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</row>
    <row r="731" spans="1:19">
      <c r="A731" s="23"/>
      <c r="B731" s="23"/>
      <c r="C731" s="23"/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</row>
    <row r="732" spans="1:19">
      <c r="A732" s="23"/>
      <c r="B732" s="23"/>
      <c r="C732" s="23"/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</row>
    <row r="733" spans="1:19">
      <c r="A733" s="23"/>
      <c r="B733" s="23"/>
      <c r="C733" s="23"/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</row>
    <row r="734" spans="1:19">
      <c r="A734" s="23"/>
      <c r="B734" s="23"/>
      <c r="C734" s="23"/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</row>
    <row r="735" spans="1:19">
      <c r="A735" s="23"/>
      <c r="B735" s="23"/>
      <c r="C735" s="23"/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</row>
    <row r="736" spans="1:19">
      <c r="A736" s="23"/>
      <c r="B736" s="23"/>
      <c r="C736" s="23"/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</row>
    <row r="737" spans="1:19">
      <c r="A737" s="23"/>
      <c r="B737" s="23"/>
      <c r="C737" s="23"/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</row>
    <row r="738" spans="1:19">
      <c r="A738" s="23"/>
      <c r="B738" s="23"/>
      <c r="C738" s="23"/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</row>
    <row r="739" spans="1:19">
      <c r="A739" s="23"/>
      <c r="B739" s="23"/>
      <c r="C739" s="23"/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</row>
    <row r="740" spans="1:19">
      <c r="A740" s="23"/>
      <c r="B740" s="23"/>
      <c r="C740" s="23"/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</row>
    <row r="741" spans="1:19">
      <c r="A741" s="23"/>
      <c r="B741" s="23"/>
      <c r="C741" s="23"/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</row>
    <row r="742" spans="1:19">
      <c r="A742" s="23"/>
      <c r="B742" s="23"/>
      <c r="C742" s="23"/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</row>
    <row r="743" spans="1:19">
      <c r="A743" s="23"/>
      <c r="B743" s="23"/>
      <c r="C743" s="23"/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</row>
    <row r="744" spans="1:19">
      <c r="A744" s="23"/>
      <c r="B744" s="23"/>
      <c r="C744" s="23"/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</row>
    <row r="745" spans="1:19">
      <c r="A745" s="23"/>
      <c r="B745" s="23"/>
      <c r="C745" s="23"/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</row>
    <row r="746" spans="1:19">
      <c r="A746" s="23"/>
      <c r="B746" s="23"/>
      <c r="C746" s="23"/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</row>
    <row r="747" spans="1:19">
      <c r="A747" s="23"/>
      <c r="B747" s="23"/>
      <c r="C747" s="23"/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</row>
    <row r="748" spans="1:19">
      <c r="A748" s="23"/>
      <c r="B748" s="23"/>
      <c r="C748" s="23"/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</row>
    <row r="749" spans="1:19">
      <c r="A749" s="23"/>
      <c r="B749" s="23"/>
      <c r="C749" s="23"/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</row>
    <row r="750" spans="1:19">
      <c r="A750" s="23"/>
      <c r="B750" s="23"/>
      <c r="C750" s="23"/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</row>
    <row r="751" spans="1:19">
      <c r="A751" s="23"/>
      <c r="B751" s="23"/>
      <c r="C751" s="23"/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</row>
    <row r="752" spans="1:19">
      <c r="A752" s="23"/>
      <c r="B752" s="23"/>
      <c r="C752" s="23"/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</row>
    <row r="753" spans="1:19">
      <c r="A753" s="23"/>
      <c r="B753" s="23"/>
      <c r="C753" s="23"/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</row>
    <row r="754" spans="1:19">
      <c r="A754" s="23"/>
      <c r="B754" s="23"/>
      <c r="C754" s="23"/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</row>
    <row r="755" spans="1:19">
      <c r="A755" s="23"/>
      <c r="B755" s="23"/>
      <c r="C755" s="23"/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</row>
    <row r="756" spans="1:19">
      <c r="A756" s="23"/>
      <c r="B756" s="23"/>
      <c r="C756" s="23"/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</row>
    <row r="757" spans="1:19">
      <c r="A757" s="23"/>
      <c r="B757" s="23"/>
      <c r="C757" s="23"/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</row>
    <row r="758" spans="1:19">
      <c r="A758" s="23"/>
      <c r="B758" s="23"/>
      <c r="C758" s="23"/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</row>
    <row r="759" spans="1:19">
      <c r="A759" s="23"/>
      <c r="B759" s="23"/>
      <c r="C759" s="23"/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</row>
    <row r="760" spans="1:19">
      <c r="A760" s="23"/>
      <c r="B760" s="23"/>
      <c r="C760" s="23"/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</row>
    <row r="761" spans="1:19">
      <c r="A761" s="23"/>
      <c r="B761" s="23"/>
      <c r="C761" s="23"/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</row>
    <row r="762" spans="1:19">
      <c r="A762" s="23"/>
      <c r="B762" s="23"/>
      <c r="C762" s="23"/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</row>
    <row r="763" spans="1:19">
      <c r="A763" s="23"/>
      <c r="B763" s="23"/>
      <c r="C763" s="23"/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</row>
    <row r="764" spans="1:19">
      <c r="A764" s="23"/>
      <c r="B764" s="23"/>
      <c r="C764" s="23"/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</row>
    <row r="765" spans="1:19">
      <c r="A765" s="23"/>
      <c r="B765" s="23"/>
      <c r="C765" s="23"/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</row>
    <row r="766" spans="1:19">
      <c r="A766" s="23"/>
      <c r="B766" s="23"/>
      <c r="C766" s="23"/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</row>
    <row r="767" spans="1:19">
      <c r="A767" s="23"/>
      <c r="B767" s="23"/>
      <c r="C767" s="23"/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</row>
    <row r="768" spans="1:19">
      <c r="A768" s="23"/>
      <c r="B768" s="23"/>
      <c r="C768" s="23"/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</row>
    <row r="769" spans="1:19">
      <c r="A769" s="23"/>
      <c r="B769" s="23"/>
      <c r="C769" s="23"/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</row>
    <row r="770" spans="1:19">
      <c r="A770" s="23"/>
      <c r="B770" s="23"/>
      <c r="C770" s="23"/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</row>
    <row r="771" spans="1:19">
      <c r="A771" s="23"/>
      <c r="B771" s="23"/>
      <c r="C771" s="23"/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</row>
    <row r="772" spans="1:19">
      <c r="A772" s="23"/>
      <c r="B772" s="23"/>
      <c r="C772" s="23"/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</row>
    <row r="773" spans="1:19">
      <c r="A773" s="23"/>
      <c r="B773" s="23"/>
      <c r="C773" s="23"/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</row>
    <row r="774" spans="1:19">
      <c r="A774" s="23"/>
      <c r="B774" s="23"/>
      <c r="C774" s="23"/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</row>
    <row r="775" spans="1:19">
      <c r="A775" s="23"/>
      <c r="B775" s="23"/>
      <c r="C775" s="23"/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</row>
    <row r="776" spans="1:19">
      <c r="A776" s="23"/>
      <c r="B776" s="23"/>
      <c r="C776" s="23"/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</row>
    <row r="777" spans="1:19">
      <c r="A777" s="23"/>
      <c r="B777" s="23"/>
      <c r="C777" s="23"/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</row>
    <row r="778" spans="1:19">
      <c r="A778" s="23"/>
      <c r="B778" s="23"/>
      <c r="C778" s="23"/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</row>
    <row r="779" spans="1:19">
      <c r="A779" s="23"/>
      <c r="B779" s="23"/>
      <c r="C779" s="23"/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</row>
    <row r="780" spans="1:19">
      <c r="A780" s="23"/>
      <c r="B780" s="23"/>
      <c r="C780" s="23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</row>
    <row r="781" spans="1:19">
      <c r="A781" s="23"/>
      <c r="B781" s="23"/>
      <c r="C781" s="23"/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</row>
    <row r="782" spans="1:19">
      <c r="A782" s="23"/>
      <c r="B782" s="23"/>
      <c r="C782" s="23"/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</row>
    <row r="783" spans="1:19">
      <c r="A783" s="23"/>
      <c r="B783" s="23"/>
      <c r="C783" s="23"/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</row>
    <row r="784" spans="1:19">
      <c r="A784" s="23"/>
      <c r="B784" s="23"/>
      <c r="C784" s="23"/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</row>
    <row r="785" spans="1:19">
      <c r="A785" s="23"/>
      <c r="B785" s="23"/>
      <c r="C785" s="23"/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</row>
    <row r="786" spans="1:19">
      <c r="A786" s="23"/>
      <c r="B786" s="23"/>
      <c r="C786" s="23"/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</row>
    <row r="787" spans="1:19">
      <c r="A787" s="23"/>
      <c r="B787" s="23"/>
      <c r="C787" s="23"/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</row>
    <row r="788" spans="1:19">
      <c r="A788" s="23"/>
      <c r="B788" s="23"/>
      <c r="C788" s="23"/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</row>
    <row r="789" spans="1:19">
      <c r="A789" s="23"/>
      <c r="B789" s="23"/>
      <c r="C789" s="23"/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</row>
    <row r="790" spans="1:19">
      <c r="A790" s="23"/>
      <c r="B790" s="23"/>
      <c r="C790" s="23"/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</row>
    <row r="791" spans="1:19">
      <c r="A791" s="23"/>
      <c r="B791" s="23"/>
      <c r="C791" s="23"/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</row>
    <row r="792" spans="1:19">
      <c r="A792" s="23"/>
      <c r="B792" s="23"/>
      <c r="C792" s="23"/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</row>
    <row r="793" spans="1:19">
      <c r="A793" s="23"/>
      <c r="B793" s="23"/>
      <c r="C793" s="23"/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</row>
    <row r="794" spans="1:19">
      <c r="A794" s="23"/>
      <c r="B794" s="23"/>
      <c r="C794" s="23"/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</row>
    <row r="795" spans="1:19">
      <c r="A795" s="23"/>
      <c r="B795" s="23"/>
      <c r="C795" s="23"/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</row>
    <row r="796" spans="1:19">
      <c r="A796" s="23"/>
      <c r="B796" s="23"/>
      <c r="C796" s="23"/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</row>
    <row r="797" spans="1:19">
      <c r="A797" s="23"/>
      <c r="B797" s="23"/>
      <c r="C797" s="23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</row>
    <row r="798" spans="1:19">
      <c r="A798" s="23"/>
      <c r="B798" s="23"/>
      <c r="C798" s="23"/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</row>
    <row r="799" spans="1:19">
      <c r="A799" s="23"/>
      <c r="B799" s="23"/>
      <c r="C799" s="23"/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</row>
    <row r="800" spans="1:19">
      <c r="A800" s="23"/>
      <c r="B800" s="23"/>
      <c r="C800" s="23"/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</row>
    <row r="801" spans="1:19">
      <c r="A801" s="23"/>
      <c r="B801" s="23"/>
      <c r="C801" s="23"/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</row>
    <row r="802" spans="1:19">
      <c r="A802" s="23"/>
      <c r="B802" s="23"/>
      <c r="C802" s="23"/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</row>
    <row r="803" spans="1:19">
      <c r="A803" s="23"/>
      <c r="B803" s="23"/>
      <c r="C803" s="23"/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</row>
    <row r="804" spans="1:19">
      <c r="A804" s="23"/>
      <c r="B804" s="23"/>
      <c r="C804" s="23"/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</row>
    <row r="805" spans="1:19">
      <c r="A805" s="23"/>
      <c r="B805" s="23"/>
      <c r="C805" s="23"/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</row>
    <row r="806" spans="1:19">
      <c r="A806" s="23"/>
      <c r="B806" s="23"/>
      <c r="C806" s="23"/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</row>
    <row r="807" spans="1:19">
      <c r="A807" s="23"/>
      <c r="B807" s="23"/>
      <c r="C807" s="23"/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</row>
    <row r="808" spans="1:19">
      <c r="A808" s="23"/>
      <c r="B808" s="23"/>
      <c r="C808" s="23"/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</row>
    <row r="809" spans="1:19">
      <c r="A809" s="23"/>
      <c r="B809" s="23"/>
      <c r="C809" s="23"/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</row>
    <row r="810" spans="1:19">
      <c r="A810" s="23"/>
      <c r="B810" s="23"/>
      <c r="C810" s="23"/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</row>
    <row r="811" spans="1:19">
      <c r="A811" s="23"/>
      <c r="B811" s="23"/>
      <c r="C811" s="23"/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</row>
    <row r="812" spans="1:19">
      <c r="A812" s="23"/>
      <c r="B812" s="23"/>
      <c r="C812" s="23"/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</row>
    <row r="813" spans="1:19">
      <c r="A813" s="23"/>
      <c r="B813" s="23"/>
      <c r="C813" s="23"/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</row>
    <row r="814" spans="1:19">
      <c r="A814" s="23"/>
      <c r="B814" s="23"/>
      <c r="C814" s="23"/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</row>
    <row r="815" spans="1:19">
      <c r="A815" s="23"/>
      <c r="B815" s="23"/>
      <c r="C815" s="23"/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</row>
    <row r="816" spans="1:19">
      <c r="A816" s="23"/>
      <c r="B816" s="23"/>
      <c r="C816" s="23"/>
      <c r="D816" s="23"/>
      <c r="E816" s="23"/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</row>
    <row r="817" spans="1:19">
      <c r="A817" s="23"/>
      <c r="B817" s="23"/>
      <c r="C817" s="23"/>
      <c r="D817" s="23"/>
      <c r="E817" s="23"/>
      <c r="F817" s="23"/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</row>
    <row r="818" spans="1:19">
      <c r="A818" s="23"/>
      <c r="B818" s="23"/>
      <c r="C818" s="23"/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</row>
    <row r="819" spans="1:19">
      <c r="A819" s="23"/>
      <c r="B819" s="23"/>
      <c r="C819" s="23"/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</row>
    <row r="820" spans="1:19">
      <c r="A820" s="23"/>
      <c r="B820" s="23"/>
      <c r="C820" s="23"/>
      <c r="D820" s="23"/>
      <c r="E820" s="23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</row>
    <row r="821" spans="1:19">
      <c r="A821" s="23"/>
      <c r="B821" s="23"/>
      <c r="C821" s="23"/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</row>
    <row r="822" spans="1:19">
      <c r="A822" s="23"/>
      <c r="B822" s="23"/>
      <c r="C822" s="23"/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</row>
    <row r="823" spans="1:19">
      <c r="A823" s="23"/>
      <c r="B823" s="23"/>
      <c r="C823" s="23"/>
      <c r="D823" s="23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</row>
    <row r="824" spans="1:19">
      <c r="A824" s="23"/>
      <c r="B824" s="23"/>
      <c r="C824" s="23"/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</row>
    <row r="825" spans="1:19">
      <c r="A825" s="23"/>
      <c r="B825" s="23"/>
      <c r="C825" s="23"/>
      <c r="D825" s="23"/>
      <c r="E825" s="23"/>
      <c r="F825" s="23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</row>
    <row r="826" spans="1:19">
      <c r="A826" s="23"/>
      <c r="B826" s="23"/>
      <c r="C826" s="23"/>
      <c r="D826" s="23"/>
      <c r="E826" s="23"/>
      <c r="F826" s="23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</row>
    <row r="827" spans="1:19">
      <c r="A827" s="23"/>
      <c r="B827" s="23"/>
      <c r="C827" s="23"/>
      <c r="D827" s="23"/>
      <c r="E827" s="23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</row>
    <row r="828" spans="1:19">
      <c r="A828" s="23"/>
      <c r="B828" s="23"/>
      <c r="C828" s="23"/>
      <c r="D828" s="23"/>
      <c r="E828" s="23"/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</row>
    <row r="829" spans="1:19">
      <c r="A829" s="23"/>
      <c r="B829" s="23"/>
      <c r="C829" s="23"/>
      <c r="D829" s="23"/>
      <c r="E829" s="23"/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</row>
    <row r="830" spans="1:19">
      <c r="A830" s="23"/>
      <c r="B830" s="23"/>
      <c r="C830" s="23"/>
      <c r="D830" s="23"/>
      <c r="E830" s="23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</row>
    <row r="831" spans="1:19">
      <c r="A831" s="23"/>
      <c r="B831" s="23"/>
      <c r="C831" s="23"/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</row>
    <row r="832" spans="1:19">
      <c r="A832" s="23"/>
      <c r="B832" s="23"/>
      <c r="C832" s="23"/>
      <c r="D832" s="23"/>
      <c r="E832" s="23"/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</row>
    <row r="833" spans="1:19">
      <c r="A833" s="23"/>
      <c r="B833" s="23"/>
      <c r="C833" s="23"/>
      <c r="D833" s="23"/>
      <c r="E833" s="23"/>
      <c r="F833" s="23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</row>
    <row r="834" spans="1:19">
      <c r="A834" s="23"/>
      <c r="B834" s="23"/>
      <c r="C834" s="23"/>
      <c r="D834" s="23"/>
      <c r="E834" s="23"/>
      <c r="F834" s="23"/>
      <c r="G834" s="23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</row>
    <row r="835" spans="1:19">
      <c r="A835" s="23"/>
      <c r="B835" s="23"/>
      <c r="C835" s="23"/>
      <c r="D835" s="23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</row>
    <row r="836" spans="1:19">
      <c r="A836" s="23"/>
      <c r="B836" s="23"/>
      <c r="C836" s="23"/>
      <c r="D836" s="23"/>
      <c r="E836" s="23"/>
      <c r="F836" s="23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</row>
    <row r="837" spans="1:19">
      <c r="A837" s="23"/>
      <c r="B837" s="23"/>
      <c r="C837" s="23"/>
      <c r="D837" s="23"/>
      <c r="E837" s="23"/>
      <c r="F837" s="23"/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</row>
    <row r="838" spans="1:19">
      <c r="A838" s="23"/>
      <c r="B838" s="23"/>
      <c r="C838" s="23"/>
      <c r="D838" s="23"/>
      <c r="E838" s="23"/>
      <c r="F838" s="23"/>
      <c r="G838" s="23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</row>
    <row r="839" spans="1:19">
      <c r="A839" s="23"/>
      <c r="B839" s="23"/>
      <c r="C839" s="23"/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</row>
    <row r="840" spans="1:19">
      <c r="A840" s="23"/>
      <c r="B840" s="23"/>
      <c r="C840" s="23"/>
      <c r="D840" s="23"/>
      <c r="E840" s="23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</row>
    <row r="841" spans="1:19">
      <c r="A841" s="23"/>
      <c r="B841" s="23"/>
      <c r="C841" s="23"/>
      <c r="D841" s="23"/>
      <c r="E841" s="23"/>
      <c r="F841" s="23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</row>
    <row r="842" spans="1:19">
      <c r="A842" s="23"/>
      <c r="B842" s="23"/>
      <c r="C842" s="23"/>
      <c r="D842" s="23"/>
      <c r="E842" s="23"/>
      <c r="F842" s="23"/>
      <c r="G842" s="23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</row>
    <row r="843" spans="1:19">
      <c r="A843" s="23"/>
      <c r="B843" s="23"/>
      <c r="C843" s="23"/>
      <c r="D843" s="23"/>
      <c r="E843" s="23"/>
      <c r="F843" s="23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</row>
    <row r="844" spans="1:19">
      <c r="A844" s="23"/>
      <c r="B844" s="23"/>
      <c r="C844" s="23"/>
      <c r="D844" s="23"/>
      <c r="E844" s="23"/>
      <c r="F844" s="23"/>
      <c r="G844" s="23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</row>
    <row r="845" spans="1:19">
      <c r="A845" s="23"/>
      <c r="B845" s="23"/>
      <c r="C845" s="23"/>
      <c r="D845" s="23"/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</row>
    <row r="846" spans="1:19">
      <c r="A846" s="23"/>
      <c r="B846" s="23"/>
      <c r="C846" s="23"/>
      <c r="D846" s="23"/>
      <c r="E846" s="23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</row>
    <row r="847" spans="1:19">
      <c r="A847" s="23"/>
      <c r="B847" s="23"/>
      <c r="C847" s="23"/>
      <c r="D847" s="23"/>
      <c r="E847" s="23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</row>
    <row r="848" spans="1:19">
      <c r="A848" s="23"/>
      <c r="B848" s="23"/>
      <c r="C848" s="23"/>
      <c r="D848" s="23"/>
      <c r="E848" s="23"/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</row>
    <row r="849" spans="1:19">
      <c r="A849" s="23"/>
      <c r="B849" s="23"/>
      <c r="C849" s="23"/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</row>
    <row r="850" spans="1:19">
      <c r="A850" s="23"/>
      <c r="B850" s="23"/>
      <c r="C850" s="23"/>
      <c r="D850" s="23"/>
      <c r="E850" s="23"/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</row>
    <row r="851" spans="1:19">
      <c r="A851" s="23"/>
      <c r="B851" s="23"/>
      <c r="C851" s="23"/>
      <c r="D851" s="23"/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</row>
    <row r="852" spans="1:19">
      <c r="A852" s="23"/>
      <c r="B852" s="23"/>
      <c r="C852" s="23"/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</row>
    <row r="853" spans="1:19">
      <c r="A853" s="23"/>
      <c r="B853" s="23"/>
      <c r="C853" s="23"/>
      <c r="D853" s="23"/>
      <c r="E853" s="23"/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</row>
    <row r="854" spans="1:19">
      <c r="A854" s="23"/>
      <c r="B854" s="23"/>
      <c r="C854" s="23"/>
      <c r="D854" s="23"/>
      <c r="E854" s="23"/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</row>
    <row r="855" spans="1:19">
      <c r="A855" s="23"/>
      <c r="B855" s="23"/>
      <c r="C855" s="23"/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</row>
    <row r="856" spans="1:19">
      <c r="A856" s="23"/>
      <c r="B856" s="23"/>
      <c r="C856" s="23"/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</row>
    <row r="857" spans="1:19">
      <c r="A857" s="23"/>
      <c r="B857" s="23"/>
      <c r="C857" s="23"/>
      <c r="D857" s="23"/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</row>
    <row r="858" spans="1:19">
      <c r="A858" s="23"/>
      <c r="B858" s="23"/>
      <c r="C858" s="23"/>
      <c r="D858" s="23"/>
      <c r="E858" s="23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</row>
    <row r="859" spans="1:19">
      <c r="A859" s="23"/>
      <c r="B859" s="23"/>
      <c r="C859" s="23"/>
      <c r="D859" s="23"/>
      <c r="E859" s="23"/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</row>
    <row r="860" spans="1:19">
      <c r="A860" s="23"/>
      <c r="B860" s="23"/>
      <c r="C860" s="23"/>
      <c r="D860" s="23"/>
      <c r="E860" s="23"/>
      <c r="F860" s="23"/>
      <c r="G860" s="23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</row>
    <row r="861" spans="1:19">
      <c r="A861" s="23"/>
      <c r="B861" s="23"/>
      <c r="C861" s="23"/>
      <c r="D861" s="23"/>
      <c r="E861" s="23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</row>
    <row r="862" spans="1:19">
      <c r="A862" s="23"/>
      <c r="B862" s="23"/>
      <c r="C862" s="23"/>
      <c r="D862" s="23"/>
      <c r="E862" s="23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</row>
    <row r="863" spans="1:19">
      <c r="A863" s="23"/>
      <c r="B863" s="23"/>
      <c r="C863" s="23"/>
      <c r="D863" s="23"/>
      <c r="E863" s="23"/>
      <c r="F863" s="23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</row>
    <row r="864" spans="1:19">
      <c r="A864" s="23"/>
      <c r="B864" s="23"/>
      <c r="C864" s="23"/>
      <c r="D864" s="23"/>
      <c r="E864" s="23"/>
      <c r="F864" s="23"/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</row>
    <row r="865" spans="1:19">
      <c r="A865" s="23"/>
      <c r="B865" s="23"/>
      <c r="C865" s="23"/>
      <c r="D865" s="23"/>
      <c r="E865" s="23"/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</row>
    <row r="866" spans="1:19">
      <c r="A866" s="23"/>
      <c r="B866" s="23"/>
      <c r="C866" s="23"/>
      <c r="D866" s="23"/>
      <c r="E866" s="23"/>
      <c r="F866" s="23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</row>
    <row r="867" spans="1:19">
      <c r="A867" s="23"/>
      <c r="B867" s="23"/>
      <c r="C867" s="23"/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</row>
    <row r="868" spans="1:19">
      <c r="A868" s="23"/>
      <c r="B868" s="23"/>
      <c r="C868" s="23"/>
      <c r="D868" s="23"/>
      <c r="E868" s="23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</row>
    <row r="869" spans="1:19">
      <c r="A869" s="23"/>
      <c r="B869" s="23"/>
      <c r="C869" s="23"/>
      <c r="D869" s="23"/>
      <c r="E869" s="23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</row>
    <row r="870" spans="1:19">
      <c r="A870" s="23"/>
      <c r="B870" s="23"/>
      <c r="C870" s="23"/>
      <c r="D870" s="23"/>
      <c r="E870" s="23"/>
      <c r="F870" s="23"/>
      <c r="G870" s="23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</row>
    <row r="871" spans="1:19">
      <c r="A871" s="23"/>
      <c r="B871" s="23"/>
      <c r="C871" s="23"/>
      <c r="D871" s="23"/>
      <c r="E871" s="23"/>
      <c r="F871" s="23"/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</row>
    <row r="872" spans="1:19">
      <c r="A872" s="23"/>
      <c r="B872" s="23"/>
      <c r="C872" s="23"/>
      <c r="D872" s="23"/>
      <c r="E872" s="23"/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</row>
    <row r="873" spans="1:19">
      <c r="A873" s="23"/>
      <c r="B873" s="23"/>
      <c r="C873" s="23"/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</row>
    <row r="874" spans="1:19">
      <c r="A874" s="23"/>
      <c r="B874" s="23"/>
      <c r="C874" s="23"/>
      <c r="D874" s="23"/>
      <c r="E874" s="23"/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</row>
    <row r="875" spans="1:19">
      <c r="A875" s="23"/>
      <c r="B875" s="23"/>
      <c r="C875" s="23"/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</row>
    <row r="876" spans="1:19">
      <c r="A876" s="23"/>
      <c r="B876" s="23"/>
      <c r="C876" s="23"/>
      <c r="D876" s="23"/>
      <c r="E876" s="23"/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</row>
    <row r="877" spans="1:19">
      <c r="A877" s="23"/>
      <c r="B877" s="23"/>
      <c r="C877" s="23"/>
      <c r="D877" s="23"/>
      <c r="E877" s="23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</row>
    <row r="878" spans="1:19">
      <c r="A878" s="23"/>
      <c r="B878" s="23"/>
      <c r="C878" s="23"/>
      <c r="D878" s="23"/>
      <c r="E878" s="23"/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</row>
    <row r="879" spans="1:19">
      <c r="A879" s="23"/>
      <c r="B879" s="23"/>
      <c r="C879" s="23"/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</row>
    <row r="880" spans="1:19">
      <c r="A880" s="23"/>
      <c r="B880" s="23"/>
      <c r="C880" s="23"/>
      <c r="D880" s="23"/>
      <c r="E880" s="23"/>
      <c r="F880" s="23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</row>
    <row r="881" spans="1:19">
      <c r="A881" s="23"/>
      <c r="B881" s="23"/>
      <c r="C881" s="23"/>
      <c r="D881" s="23"/>
      <c r="E881" s="23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</row>
    <row r="882" spans="1:19">
      <c r="A882" s="23"/>
      <c r="B882" s="23"/>
      <c r="C882" s="23"/>
      <c r="D882" s="23"/>
      <c r="E882" s="23"/>
      <c r="F882" s="23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</row>
    <row r="883" spans="1:19">
      <c r="A883" s="23"/>
      <c r="B883" s="23"/>
      <c r="C883" s="23"/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</row>
    <row r="884" spans="1:19">
      <c r="A884" s="23"/>
      <c r="B884" s="23"/>
      <c r="C884" s="23"/>
      <c r="D884" s="23"/>
      <c r="E884" s="23"/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</row>
    <row r="885" spans="1:19">
      <c r="A885" s="23"/>
      <c r="B885" s="23"/>
      <c r="C885" s="23"/>
      <c r="D885" s="23"/>
      <c r="E885" s="23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</row>
    <row r="886" spans="1:19">
      <c r="A886" s="23"/>
      <c r="B886" s="23"/>
      <c r="C886" s="23"/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</row>
    <row r="887" spans="1:19">
      <c r="A887" s="23"/>
      <c r="B887" s="23"/>
      <c r="C887" s="23"/>
      <c r="D887" s="23"/>
      <c r="E887" s="23"/>
      <c r="F887" s="23"/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</row>
    <row r="888" spans="1:19">
      <c r="A888" s="23"/>
      <c r="B888" s="23"/>
      <c r="C888" s="23"/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</row>
    <row r="889" spans="1:19">
      <c r="A889" s="23"/>
      <c r="B889" s="23"/>
      <c r="C889" s="23"/>
      <c r="D889" s="23"/>
      <c r="E889" s="23"/>
      <c r="F889" s="23"/>
      <c r="G889" s="23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</row>
    <row r="890" spans="1:19">
      <c r="A890" s="23"/>
      <c r="B890" s="23"/>
      <c r="C890" s="23"/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</row>
    <row r="891" spans="1:19">
      <c r="A891" s="23"/>
      <c r="B891" s="23"/>
      <c r="C891" s="23"/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</row>
    <row r="892" spans="1:19">
      <c r="A892" s="23"/>
      <c r="B892" s="23"/>
      <c r="C892" s="23"/>
      <c r="D892" s="23"/>
      <c r="E892" s="23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</row>
    <row r="893" spans="1:19">
      <c r="A893" s="23"/>
      <c r="B893" s="23"/>
      <c r="C893" s="23"/>
      <c r="D893" s="23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</row>
    <row r="894" spans="1:19">
      <c r="A894" s="23"/>
      <c r="B894" s="23"/>
      <c r="C894" s="23"/>
      <c r="D894" s="23"/>
      <c r="E894" s="23"/>
      <c r="F894" s="23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</row>
    <row r="895" spans="1:19">
      <c r="A895" s="23"/>
      <c r="B895" s="23"/>
      <c r="C895" s="23"/>
      <c r="D895" s="23"/>
      <c r="E895" s="23"/>
      <c r="F895" s="23"/>
      <c r="G895" s="23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</row>
    <row r="896" spans="1:19">
      <c r="A896" s="23"/>
      <c r="B896" s="23"/>
      <c r="C896" s="23"/>
      <c r="D896" s="23"/>
      <c r="E896" s="23"/>
      <c r="F896" s="23"/>
      <c r="G896" s="23"/>
      <c r="H896" s="23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</row>
    <row r="897" spans="1:19">
      <c r="A897" s="23"/>
      <c r="B897" s="23"/>
      <c r="C897" s="23"/>
      <c r="D897" s="23"/>
      <c r="E897" s="23"/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</row>
    <row r="898" spans="1:19">
      <c r="A898" s="23"/>
      <c r="B898" s="23"/>
      <c r="C898" s="23"/>
      <c r="D898" s="23"/>
      <c r="E898" s="23"/>
      <c r="F898" s="23"/>
      <c r="G898" s="23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</row>
    <row r="899" spans="1:19">
      <c r="A899" s="23"/>
      <c r="B899" s="23"/>
      <c r="C899" s="23"/>
      <c r="D899" s="23"/>
      <c r="E899" s="23"/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</row>
    <row r="900" spans="1:19">
      <c r="A900" s="23"/>
      <c r="B900" s="23"/>
      <c r="C900" s="23"/>
      <c r="D900" s="23"/>
      <c r="E900" s="23"/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</row>
    <row r="901" spans="1:19">
      <c r="A901" s="23"/>
      <c r="B901" s="23"/>
      <c r="C901" s="23"/>
      <c r="D901" s="23"/>
      <c r="E901" s="23"/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</row>
    <row r="902" spans="1:19">
      <c r="A902" s="23"/>
      <c r="B902" s="23"/>
      <c r="C902" s="23"/>
      <c r="D902" s="23"/>
      <c r="E902" s="23"/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</row>
    <row r="903" spans="1:19">
      <c r="A903" s="23"/>
      <c r="B903" s="23"/>
      <c r="C903" s="23"/>
      <c r="D903" s="23"/>
      <c r="E903" s="23"/>
      <c r="F903" s="23"/>
      <c r="G903" s="23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</row>
    <row r="904" spans="1:19">
      <c r="A904" s="23"/>
      <c r="B904" s="23"/>
      <c r="C904" s="23"/>
      <c r="D904" s="23"/>
      <c r="E904" s="23"/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</row>
    <row r="905" spans="1:19">
      <c r="A905" s="23"/>
      <c r="B905" s="23"/>
      <c r="C905" s="23"/>
      <c r="D905" s="23"/>
      <c r="E905" s="23"/>
      <c r="F905" s="23"/>
      <c r="G905" s="23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</row>
    <row r="906" spans="1:19">
      <c r="A906" s="23"/>
      <c r="B906" s="23"/>
      <c r="C906" s="23"/>
      <c r="D906" s="23"/>
      <c r="E906" s="23"/>
      <c r="F906" s="23"/>
      <c r="G906" s="23"/>
      <c r="H906" s="23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</row>
    <row r="907" spans="1:19">
      <c r="A907" s="23"/>
      <c r="B907" s="23"/>
      <c r="C907" s="23"/>
      <c r="D907" s="23"/>
      <c r="E907" s="23"/>
      <c r="F907" s="23"/>
      <c r="G907" s="23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</row>
    <row r="908" spans="1:19">
      <c r="A908" s="23"/>
      <c r="B908" s="23"/>
      <c r="C908" s="23"/>
      <c r="D908" s="23"/>
      <c r="E908" s="23"/>
      <c r="F908" s="23"/>
      <c r="G908" s="23"/>
      <c r="H908" s="23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</row>
    <row r="909" spans="1:19">
      <c r="A909" s="23"/>
      <c r="B909" s="23"/>
      <c r="C909" s="23"/>
      <c r="D909" s="23"/>
      <c r="E909" s="23"/>
      <c r="F909" s="23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</row>
    <row r="910" spans="1:19">
      <c r="A910" s="23"/>
      <c r="B910" s="23"/>
      <c r="C910" s="23"/>
      <c r="D910" s="23"/>
      <c r="E910" s="23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</row>
    <row r="911" spans="1:19">
      <c r="A911" s="23"/>
      <c r="B911" s="23"/>
      <c r="C911" s="23"/>
      <c r="D911" s="23"/>
      <c r="E911" s="23"/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</row>
    <row r="912" spans="1:19">
      <c r="A912" s="23"/>
      <c r="B912" s="23"/>
      <c r="C912" s="23"/>
      <c r="D912" s="23"/>
      <c r="E912" s="23"/>
      <c r="F912" s="23"/>
      <c r="G912" s="23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</row>
    <row r="913" spans="1:19">
      <c r="A913" s="23"/>
      <c r="B913" s="23"/>
      <c r="C913" s="23"/>
      <c r="D913" s="23"/>
      <c r="E913" s="23"/>
      <c r="F913" s="23"/>
      <c r="G913" s="23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</row>
    <row r="914" spans="1:19">
      <c r="A914" s="23"/>
      <c r="B914" s="23"/>
      <c r="C914" s="23"/>
      <c r="D914" s="23"/>
      <c r="E914" s="23"/>
      <c r="F914" s="23"/>
      <c r="G914" s="23"/>
      <c r="H914" s="23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</row>
    <row r="915" spans="1:19">
      <c r="A915" s="23"/>
      <c r="B915" s="23"/>
      <c r="C915" s="23"/>
      <c r="D915" s="23"/>
      <c r="E915" s="23"/>
      <c r="F915" s="23"/>
      <c r="G915" s="23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</row>
    <row r="916" spans="1:19">
      <c r="A916" s="23"/>
      <c r="B916" s="23"/>
      <c r="C916" s="23"/>
      <c r="D916" s="23"/>
      <c r="E916" s="23"/>
      <c r="F916" s="23"/>
      <c r="G916" s="23"/>
      <c r="H916" s="23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</row>
    <row r="917" spans="1:19">
      <c r="A917" s="23"/>
      <c r="B917" s="23"/>
      <c r="C917" s="23"/>
      <c r="D917" s="23"/>
      <c r="E917" s="23"/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</row>
    <row r="918" spans="1:19">
      <c r="A918" s="23"/>
      <c r="B918" s="23"/>
      <c r="C918" s="23"/>
      <c r="D918" s="23"/>
      <c r="E918" s="23"/>
      <c r="F918" s="23"/>
      <c r="G918" s="23"/>
      <c r="H918" s="23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</row>
    <row r="919" spans="1:19">
      <c r="A919" s="23"/>
      <c r="B919" s="23"/>
      <c r="C919" s="23"/>
      <c r="D919" s="23"/>
      <c r="E919" s="23"/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</row>
    <row r="920" spans="1:19">
      <c r="A920" s="23"/>
      <c r="B920" s="23"/>
      <c r="C920" s="23"/>
      <c r="D920" s="23"/>
      <c r="E920" s="23"/>
      <c r="F920" s="23"/>
      <c r="G920" s="23"/>
      <c r="H920" s="23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</row>
    <row r="921" spans="1:19">
      <c r="A921" s="23"/>
      <c r="B921" s="23"/>
      <c r="C921" s="23"/>
      <c r="D921" s="23"/>
      <c r="E921" s="23"/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</row>
    <row r="922" spans="1:19">
      <c r="A922" s="23"/>
      <c r="B922" s="23"/>
      <c r="C922" s="23"/>
      <c r="D922" s="23"/>
      <c r="E922" s="23"/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</row>
    <row r="923" spans="1:19">
      <c r="A923" s="23"/>
      <c r="B923" s="23"/>
      <c r="C923" s="23"/>
      <c r="D923" s="23"/>
      <c r="E923" s="23"/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</row>
    <row r="924" spans="1:19">
      <c r="A924" s="23"/>
      <c r="B924" s="23"/>
      <c r="C924" s="23"/>
      <c r="D924" s="23"/>
      <c r="E924" s="23"/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</row>
    <row r="925" spans="1:19">
      <c r="A925" s="23"/>
      <c r="B925" s="23"/>
      <c r="C925" s="23"/>
      <c r="D925" s="23"/>
      <c r="E925" s="23"/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</row>
    <row r="926" spans="1:19">
      <c r="A926" s="23"/>
      <c r="B926" s="23"/>
      <c r="C926" s="23"/>
      <c r="D926" s="23"/>
      <c r="E926" s="23"/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</row>
    <row r="927" spans="1:19">
      <c r="A927" s="23"/>
      <c r="B927" s="23"/>
      <c r="C927" s="23"/>
      <c r="D927" s="23"/>
      <c r="E927" s="23"/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</row>
    <row r="928" spans="1:19">
      <c r="A928" s="23"/>
      <c r="B928" s="23"/>
      <c r="C928" s="23"/>
      <c r="D928" s="23"/>
      <c r="E928" s="23"/>
      <c r="F928" s="23"/>
      <c r="G928" s="23"/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</row>
    <row r="929" spans="1:19">
      <c r="A929" s="23"/>
      <c r="B929" s="23"/>
      <c r="C929" s="23"/>
      <c r="D929" s="23"/>
      <c r="E929" s="23"/>
      <c r="F929" s="23"/>
      <c r="G929" s="23"/>
      <c r="H929" s="23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</row>
    <row r="930" spans="1:19">
      <c r="A930" s="23"/>
      <c r="B930" s="23"/>
      <c r="C930" s="23"/>
      <c r="D930" s="23"/>
      <c r="E930" s="23"/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</row>
    <row r="931" spans="1:19">
      <c r="A931" s="23"/>
      <c r="B931" s="23"/>
      <c r="C931" s="23"/>
      <c r="D931" s="23"/>
      <c r="E931" s="23"/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</row>
    <row r="932" spans="1:19">
      <c r="A932" s="23"/>
      <c r="B932" s="23"/>
      <c r="C932" s="23"/>
      <c r="D932" s="23"/>
      <c r="E932" s="23"/>
      <c r="F932" s="23"/>
      <c r="G932" s="23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</row>
    <row r="933" spans="1:19">
      <c r="A933" s="23"/>
      <c r="B933" s="23"/>
      <c r="C933" s="23"/>
      <c r="D933" s="23"/>
      <c r="E933" s="23"/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</row>
    <row r="934" spans="1:19">
      <c r="A934" s="23"/>
      <c r="B934" s="23"/>
      <c r="C934" s="23"/>
      <c r="D934" s="23"/>
      <c r="E934" s="23"/>
      <c r="F934" s="23"/>
      <c r="G934" s="23"/>
      <c r="H934" s="23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</row>
    <row r="935" spans="1:19">
      <c r="A935" s="23"/>
      <c r="B935" s="23"/>
      <c r="C935" s="23"/>
      <c r="D935" s="23"/>
      <c r="E935" s="23"/>
      <c r="F935" s="23"/>
      <c r="G935" s="23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</row>
    <row r="936" spans="1:19">
      <c r="A936" s="23"/>
      <c r="B936" s="23"/>
      <c r="C936" s="23"/>
      <c r="D936" s="23"/>
      <c r="E936" s="23"/>
      <c r="F936" s="23"/>
      <c r="G936" s="23"/>
      <c r="H936" s="23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</row>
    <row r="937" spans="1:19">
      <c r="A937" s="23"/>
      <c r="B937" s="23"/>
      <c r="C937" s="23"/>
      <c r="D937" s="23"/>
      <c r="E937" s="23"/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</row>
    <row r="938" spans="1:19">
      <c r="A938" s="23"/>
      <c r="B938" s="23"/>
      <c r="C938" s="23"/>
      <c r="D938" s="23"/>
      <c r="E938" s="23"/>
      <c r="F938" s="23"/>
      <c r="G938" s="23"/>
      <c r="H938" s="23"/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</row>
    <row r="939" spans="1:19">
      <c r="A939" s="23"/>
      <c r="B939" s="23"/>
      <c r="C939" s="23"/>
      <c r="D939" s="23"/>
      <c r="E939" s="23"/>
      <c r="F939" s="23"/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</row>
    <row r="940" spans="1:19">
      <c r="A940" s="23"/>
      <c r="B940" s="23"/>
      <c r="C940" s="23"/>
      <c r="D940" s="23"/>
      <c r="E940" s="23"/>
      <c r="F940" s="23"/>
      <c r="G940" s="23"/>
      <c r="H940" s="23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</row>
    <row r="941" spans="1:19">
      <c r="A941" s="23"/>
      <c r="B941" s="23"/>
      <c r="C941" s="23"/>
      <c r="D941" s="23"/>
      <c r="E941" s="23"/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</row>
    <row r="942" spans="1:19">
      <c r="A942" s="23"/>
      <c r="B942" s="23"/>
      <c r="C942" s="23"/>
      <c r="D942" s="23"/>
      <c r="E942" s="23"/>
      <c r="F942" s="23"/>
      <c r="G942" s="23"/>
      <c r="H942" s="23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</row>
    <row r="943" spans="1:19">
      <c r="A943" s="23"/>
      <c r="B943" s="23"/>
      <c r="C943" s="23"/>
      <c r="D943" s="23"/>
      <c r="E943" s="23"/>
      <c r="F943" s="23"/>
      <c r="G943" s="23"/>
      <c r="H943" s="23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</row>
    <row r="944" spans="1:19">
      <c r="A944" s="23"/>
      <c r="B944" s="23"/>
      <c r="C944" s="23"/>
      <c r="D944" s="23"/>
      <c r="E944" s="23"/>
      <c r="F944" s="23"/>
      <c r="G944" s="23"/>
      <c r="H944" s="23"/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</row>
    <row r="945" spans="1:19">
      <c r="A945" s="23"/>
      <c r="B945" s="23"/>
      <c r="C945" s="23"/>
      <c r="D945" s="23"/>
      <c r="E945" s="23"/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</row>
    <row r="946" spans="1:19">
      <c r="A946" s="23"/>
      <c r="B946" s="23"/>
      <c r="C946" s="23"/>
      <c r="D946" s="23"/>
      <c r="E946" s="23"/>
      <c r="F946" s="23"/>
      <c r="G946" s="23"/>
      <c r="H946" s="23"/>
      <c r="I946" s="23"/>
      <c r="J946" s="23"/>
      <c r="K946" s="23"/>
      <c r="L946" s="23"/>
      <c r="M946" s="23"/>
      <c r="N946" s="23"/>
      <c r="O946" s="23"/>
      <c r="P946" s="23"/>
      <c r="Q946" s="23"/>
      <c r="R946" s="23"/>
      <c r="S946" s="23"/>
    </row>
    <row r="947" spans="1:19">
      <c r="A947" s="23"/>
      <c r="B947" s="23"/>
      <c r="C947" s="23"/>
      <c r="D947" s="23"/>
      <c r="E947" s="23"/>
      <c r="F947" s="23"/>
      <c r="G947" s="23"/>
      <c r="H947" s="23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</row>
    <row r="948" spans="1:19">
      <c r="A948" s="23"/>
      <c r="B948" s="23"/>
      <c r="C948" s="23"/>
      <c r="D948" s="23"/>
      <c r="E948" s="23"/>
      <c r="F948" s="23"/>
      <c r="G948" s="23"/>
      <c r="H948" s="23"/>
      <c r="I948" s="23"/>
      <c r="J948" s="23"/>
      <c r="K948" s="23"/>
      <c r="L948" s="23"/>
      <c r="M948" s="23"/>
      <c r="N948" s="23"/>
      <c r="O948" s="23"/>
      <c r="P948" s="23"/>
      <c r="Q948" s="23"/>
      <c r="R948" s="23"/>
      <c r="S948" s="23"/>
    </row>
    <row r="949" spans="1:19">
      <c r="A949" s="23"/>
      <c r="B949" s="23"/>
      <c r="C949" s="23"/>
      <c r="D949" s="23"/>
      <c r="E949" s="23"/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</row>
    <row r="950" spans="1:19">
      <c r="A950" s="23"/>
      <c r="B950" s="23"/>
      <c r="C950" s="23"/>
      <c r="D950" s="23"/>
      <c r="E950" s="23"/>
      <c r="F950" s="23"/>
      <c r="G950" s="23"/>
      <c r="H950" s="23"/>
      <c r="I950" s="23"/>
      <c r="J950" s="23"/>
      <c r="K950" s="23"/>
      <c r="L950" s="23"/>
      <c r="M950" s="23"/>
      <c r="N950" s="23"/>
      <c r="O950" s="23"/>
      <c r="P950" s="23"/>
      <c r="Q950" s="23"/>
      <c r="R950" s="23"/>
      <c r="S950" s="23"/>
    </row>
    <row r="951" spans="1:19">
      <c r="A951" s="23"/>
      <c r="B951" s="23"/>
      <c r="C951" s="23"/>
      <c r="D951" s="23"/>
      <c r="E951" s="23"/>
      <c r="F951" s="23"/>
      <c r="G951" s="23"/>
      <c r="H951" s="23"/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</row>
    <row r="952" spans="1:19">
      <c r="A952" s="23"/>
      <c r="B952" s="23"/>
      <c r="C952" s="23"/>
      <c r="D952" s="23"/>
      <c r="E952" s="23"/>
      <c r="F952" s="23"/>
      <c r="G952" s="23"/>
      <c r="H952" s="23"/>
      <c r="I952" s="23"/>
      <c r="J952" s="23"/>
      <c r="K952" s="23"/>
      <c r="L952" s="23"/>
      <c r="M952" s="23"/>
      <c r="N952" s="23"/>
      <c r="O952" s="23"/>
      <c r="P952" s="23"/>
      <c r="Q952" s="23"/>
      <c r="R952" s="23"/>
      <c r="S952" s="23"/>
    </row>
    <row r="953" spans="1:19">
      <c r="A953" s="23"/>
      <c r="B953" s="23"/>
      <c r="C953" s="23"/>
      <c r="D953" s="23"/>
      <c r="E953" s="23"/>
      <c r="F953" s="23"/>
      <c r="G953" s="23"/>
      <c r="H953" s="23"/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</row>
    <row r="954" spans="1:19">
      <c r="A954" s="23"/>
      <c r="B954" s="23"/>
      <c r="C954" s="23"/>
      <c r="D954" s="23"/>
      <c r="E954" s="23"/>
      <c r="F954" s="23"/>
      <c r="G954" s="23"/>
      <c r="H954" s="23"/>
      <c r="I954" s="23"/>
      <c r="J954" s="23"/>
      <c r="K954" s="23"/>
      <c r="L954" s="23"/>
      <c r="M954" s="23"/>
      <c r="N954" s="23"/>
      <c r="O954" s="23"/>
      <c r="P954" s="23"/>
      <c r="Q954" s="23"/>
      <c r="R954" s="23"/>
      <c r="S954" s="23"/>
    </row>
    <row r="955" spans="1:19">
      <c r="A955" s="23"/>
      <c r="B955" s="23"/>
      <c r="C955" s="23"/>
      <c r="D955" s="23"/>
      <c r="E955" s="23"/>
      <c r="F955" s="23"/>
      <c r="G955" s="23"/>
      <c r="H955" s="23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</row>
    <row r="956" spans="1:19">
      <c r="A956" s="23"/>
      <c r="B956" s="23"/>
      <c r="C956" s="23"/>
      <c r="D956" s="23"/>
      <c r="E956" s="23"/>
      <c r="F956" s="23"/>
      <c r="G956" s="23"/>
      <c r="H956" s="23"/>
      <c r="I956" s="23"/>
      <c r="J956" s="23"/>
      <c r="K956" s="23"/>
      <c r="L956" s="23"/>
      <c r="M956" s="23"/>
      <c r="N956" s="23"/>
      <c r="O956" s="23"/>
      <c r="P956" s="23"/>
      <c r="Q956" s="23"/>
      <c r="R956" s="23"/>
      <c r="S956" s="23"/>
    </row>
    <row r="957" spans="1:19">
      <c r="A957" s="23"/>
      <c r="B957" s="23"/>
      <c r="C957" s="23"/>
      <c r="D957" s="23"/>
      <c r="E957" s="23"/>
      <c r="F957" s="23"/>
      <c r="G957" s="23"/>
      <c r="H957" s="23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</row>
    <row r="958" spans="1:19">
      <c r="A958" s="23"/>
      <c r="B958" s="23"/>
      <c r="C958" s="23"/>
      <c r="D958" s="23"/>
      <c r="E958" s="23"/>
      <c r="F958" s="23"/>
      <c r="G958" s="23"/>
      <c r="H958" s="23"/>
      <c r="I958" s="23"/>
      <c r="J958" s="23"/>
      <c r="K958" s="23"/>
      <c r="L958" s="23"/>
      <c r="M958" s="23"/>
      <c r="N958" s="23"/>
      <c r="O958" s="23"/>
      <c r="P958" s="23"/>
      <c r="Q958" s="23"/>
      <c r="R958" s="23"/>
      <c r="S958" s="23"/>
    </row>
    <row r="959" spans="1:19">
      <c r="A959" s="23"/>
      <c r="B959" s="23"/>
      <c r="C959" s="23"/>
      <c r="D959" s="23"/>
      <c r="E959" s="23"/>
      <c r="F959" s="23"/>
      <c r="G959" s="23"/>
      <c r="H959" s="23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</row>
    <row r="960" spans="1:19">
      <c r="A960" s="23"/>
      <c r="B960" s="23"/>
      <c r="C960" s="23"/>
      <c r="D960" s="23"/>
      <c r="E960" s="23"/>
      <c r="F960" s="23"/>
      <c r="G960" s="23"/>
      <c r="H960" s="23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</row>
    <row r="961" spans="1:19">
      <c r="A961" s="23"/>
      <c r="B961" s="23"/>
      <c r="C961" s="23"/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</row>
    <row r="962" spans="1:19">
      <c r="A962" s="23"/>
      <c r="B962" s="23"/>
      <c r="C962" s="23"/>
      <c r="D962" s="23"/>
      <c r="E962" s="23"/>
      <c r="F962" s="23"/>
      <c r="G962" s="23"/>
      <c r="H962" s="23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</row>
    <row r="963" spans="1:19">
      <c r="A963" s="23"/>
      <c r="B963" s="23"/>
      <c r="C963" s="23"/>
      <c r="D963" s="23"/>
      <c r="E963" s="23"/>
      <c r="F963" s="23"/>
      <c r="G963" s="23"/>
      <c r="H963" s="23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</row>
    <row r="964" spans="1:19">
      <c r="A964" s="23"/>
      <c r="B964" s="23"/>
      <c r="C964" s="23"/>
      <c r="D964" s="23"/>
      <c r="E964" s="23"/>
      <c r="F964" s="23"/>
      <c r="G964" s="23"/>
      <c r="H964" s="23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</row>
    <row r="965" spans="1:19">
      <c r="A965" s="23"/>
      <c r="B965" s="23"/>
      <c r="C965" s="23"/>
      <c r="D965" s="23"/>
      <c r="E965" s="23"/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</row>
    <row r="966" spans="1:19">
      <c r="A966" s="23"/>
      <c r="B966" s="23"/>
      <c r="C966" s="23"/>
      <c r="D966" s="23"/>
      <c r="E966" s="23"/>
      <c r="F966" s="23"/>
      <c r="G966" s="23"/>
      <c r="H966" s="23"/>
      <c r="I966" s="23"/>
      <c r="J966" s="23"/>
      <c r="K966" s="23"/>
      <c r="L966" s="23"/>
      <c r="M966" s="23"/>
      <c r="N966" s="23"/>
      <c r="O966" s="23"/>
      <c r="P966" s="23"/>
      <c r="Q966" s="23"/>
      <c r="R966" s="23"/>
      <c r="S966" s="23"/>
    </row>
    <row r="967" spans="1:19">
      <c r="A967" s="23"/>
      <c r="B967" s="23"/>
      <c r="C967" s="23"/>
      <c r="D967" s="23"/>
      <c r="E967" s="23"/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</row>
    <row r="968" spans="1:19">
      <c r="A968" s="23"/>
      <c r="B968" s="23"/>
      <c r="C968" s="23"/>
      <c r="D968" s="23"/>
      <c r="E968" s="23"/>
      <c r="F968" s="23"/>
      <c r="G968" s="23"/>
      <c r="H968" s="23"/>
      <c r="I968" s="23"/>
      <c r="J968" s="23"/>
      <c r="K968" s="23"/>
      <c r="L968" s="23"/>
      <c r="M968" s="23"/>
      <c r="N968" s="23"/>
      <c r="O968" s="23"/>
      <c r="P968" s="23"/>
      <c r="Q968" s="23"/>
      <c r="R968" s="23"/>
      <c r="S968" s="23"/>
    </row>
    <row r="969" spans="1:19">
      <c r="A969" s="23"/>
      <c r="B969" s="23"/>
      <c r="C969" s="23"/>
      <c r="D969" s="23"/>
      <c r="E969" s="23"/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</row>
    <row r="970" spans="1:19">
      <c r="A970" s="23"/>
      <c r="B970" s="23"/>
      <c r="C970" s="23"/>
      <c r="D970" s="23"/>
      <c r="E970" s="23"/>
      <c r="F970" s="23"/>
      <c r="G970" s="23"/>
      <c r="H970" s="23"/>
      <c r="I970" s="23"/>
      <c r="J970" s="23"/>
      <c r="K970" s="23"/>
      <c r="L970" s="23"/>
      <c r="M970" s="23"/>
      <c r="N970" s="23"/>
      <c r="O970" s="23"/>
      <c r="P970" s="23"/>
      <c r="Q970" s="23"/>
      <c r="R970" s="23"/>
      <c r="S970" s="23"/>
    </row>
    <row r="971" spans="1:19">
      <c r="A971" s="23"/>
      <c r="B971" s="23"/>
      <c r="C971" s="23"/>
      <c r="D971" s="23"/>
      <c r="E971" s="23"/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</row>
    <row r="972" spans="1:19">
      <c r="A972" s="23"/>
      <c r="B972" s="23"/>
      <c r="C972" s="23"/>
      <c r="D972" s="23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</row>
    <row r="973" spans="1:19">
      <c r="A973" s="23"/>
      <c r="B973" s="23"/>
      <c r="C973" s="23"/>
      <c r="D973" s="23"/>
      <c r="E973" s="23"/>
      <c r="F973" s="23"/>
      <c r="G973" s="23"/>
      <c r="H973" s="23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</row>
    <row r="974" spans="1:19">
      <c r="A974" s="23"/>
      <c r="B974" s="23"/>
      <c r="C974" s="23"/>
      <c r="D974" s="23"/>
      <c r="E974" s="23"/>
      <c r="F974" s="23"/>
      <c r="G974" s="23"/>
      <c r="H974" s="23"/>
      <c r="I974" s="23"/>
      <c r="J974" s="23"/>
      <c r="K974" s="23"/>
      <c r="L974" s="23"/>
      <c r="M974" s="23"/>
      <c r="N974" s="23"/>
      <c r="O974" s="23"/>
      <c r="P974" s="23"/>
      <c r="Q974" s="23"/>
      <c r="R974" s="23"/>
      <c r="S974" s="23"/>
    </row>
    <row r="975" spans="1:19">
      <c r="A975" s="23"/>
      <c r="B975" s="23"/>
      <c r="C975" s="23"/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</row>
    <row r="976" spans="1:19">
      <c r="A976" s="23"/>
      <c r="B976" s="23"/>
      <c r="C976" s="23"/>
      <c r="D976" s="23"/>
      <c r="E976" s="23"/>
      <c r="F976" s="23"/>
      <c r="G976" s="23"/>
      <c r="H976" s="23"/>
      <c r="I976" s="23"/>
      <c r="J976" s="23"/>
      <c r="K976" s="23"/>
      <c r="L976" s="23"/>
      <c r="M976" s="23"/>
      <c r="N976" s="23"/>
      <c r="O976" s="23"/>
      <c r="P976" s="23"/>
      <c r="Q976" s="23"/>
      <c r="R976" s="23"/>
      <c r="S976" s="23"/>
    </row>
    <row r="977" spans="1:19">
      <c r="A977" s="23"/>
      <c r="B977" s="23"/>
      <c r="C977" s="23"/>
      <c r="D977" s="23"/>
      <c r="E977" s="23"/>
      <c r="F977" s="23"/>
      <c r="G977" s="23"/>
      <c r="H977" s="23"/>
      <c r="I977" s="23"/>
      <c r="J977" s="23"/>
      <c r="K977" s="23"/>
      <c r="L977" s="23"/>
      <c r="M977" s="23"/>
      <c r="N977" s="23"/>
      <c r="O977" s="23"/>
      <c r="P977" s="23"/>
      <c r="Q977" s="23"/>
      <c r="R977" s="23"/>
      <c r="S977" s="23"/>
    </row>
    <row r="978" spans="1:19">
      <c r="A978" s="23"/>
      <c r="B978" s="23"/>
      <c r="C978" s="23"/>
      <c r="D978" s="23"/>
      <c r="E978" s="23"/>
      <c r="F978" s="23"/>
      <c r="G978" s="23"/>
      <c r="H978" s="23"/>
      <c r="I978" s="23"/>
      <c r="J978" s="23"/>
      <c r="K978" s="23"/>
      <c r="L978" s="23"/>
      <c r="M978" s="23"/>
      <c r="N978" s="23"/>
      <c r="O978" s="23"/>
      <c r="P978" s="23"/>
      <c r="Q978" s="23"/>
      <c r="R978" s="23"/>
      <c r="S978" s="23"/>
    </row>
    <row r="979" spans="1:19">
      <c r="A979" s="23"/>
      <c r="B979" s="23"/>
      <c r="C979" s="23"/>
      <c r="D979" s="23"/>
      <c r="E979" s="23"/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</row>
    <row r="980" spans="1:19">
      <c r="A980" s="23"/>
      <c r="B980" s="23"/>
      <c r="C980" s="23"/>
      <c r="D980" s="23"/>
      <c r="E980" s="23"/>
      <c r="F980" s="23"/>
      <c r="G980" s="23"/>
      <c r="H980" s="23"/>
      <c r="I980" s="23"/>
      <c r="J980" s="23"/>
      <c r="K980" s="23"/>
      <c r="L980" s="23"/>
      <c r="M980" s="23"/>
      <c r="N980" s="23"/>
      <c r="O980" s="23"/>
      <c r="P980" s="23"/>
      <c r="Q980" s="23"/>
      <c r="R980" s="23"/>
      <c r="S980" s="23"/>
    </row>
    <row r="981" spans="1:19">
      <c r="A981" s="23"/>
      <c r="B981" s="23"/>
      <c r="C981" s="23"/>
      <c r="D981" s="23"/>
      <c r="E981" s="23"/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</row>
    <row r="982" spans="1:19">
      <c r="A982" s="23"/>
      <c r="B982" s="23"/>
      <c r="C982" s="23"/>
      <c r="D982" s="23"/>
      <c r="E982" s="23"/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</row>
    <row r="983" spans="1:19">
      <c r="A983" s="23"/>
      <c r="B983" s="23"/>
      <c r="C983" s="23"/>
      <c r="D983" s="23"/>
      <c r="E983" s="23"/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</row>
    <row r="984" spans="1:19">
      <c r="A984" s="23"/>
      <c r="B984" s="23"/>
      <c r="C984" s="23"/>
      <c r="D984" s="23"/>
      <c r="E984" s="23"/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</row>
    <row r="985" spans="1:19">
      <c r="A985" s="23"/>
      <c r="B985" s="23"/>
      <c r="C985" s="23"/>
      <c r="D985" s="23"/>
      <c r="E985" s="23"/>
      <c r="F985" s="23"/>
      <c r="G985" s="23"/>
      <c r="H985" s="23"/>
      <c r="I985" s="23"/>
      <c r="J985" s="23"/>
      <c r="K985" s="23"/>
      <c r="L985" s="23"/>
      <c r="M985" s="23"/>
      <c r="N985" s="23"/>
      <c r="O985" s="23"/>
      <c r="P985" s="23"/>
      <c r="Q985" s="23"/>
      <c r="R985" s="23"/>
      <c r="S985" s="23"/>
    </row>
    <row r="986" spans="1:19">
      <c r="A986" s="23"/>
      <c r="B986" s="23"/>
      <c r="C986" s="23"/>
      <c r="D986" s="23"/>
      <c r="E986" s="23"/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23"/>
    </row>
    <row r="987" spans="1:19">
      <c r="A987" s="23"/>
      <c r="B987" s="23"/>
      <c r="C987" s="23"/>
      <c r="D987" s="23"/>
      <c r="E987" s="23"/>
      <c r="F987" s="23"/>
      <c r="G987" s="23"/>
      <c r="H987" s="23"/>
      <c r="I987" s="23"/>
      <c r="J987" s="23"/>
      <c r="K987" s="23"/>
      <c r="L987" s="23"/>
      <c r="M987" s="23"/>
      <c r="N987" s="23"/>
      <c r="O987" s="23"/>
      <c r="P987" s="23"/>
      <c r="Q987" s="23"/>
      <c r="R987" s="23"/>
      <c r="S987" s="23"/>
    </row>
    <row r="988" spans="1:19">
      <c r="A988" s="23"/>
      <c r="B988" s="23"/>
      <c r="C988" s="23"/>
      <c r="D988" s="23"/>
      <c r="E988" s="23"/>
      <c r="F988" s="23"/>
      <c r="G988" s="23"/>
      <c r="H988" s="23"/>
      <c r="I988" s="23"/>
      <c r="J988" s="23"/>
      <c r="K988" s="23"/>
      <c r="L988" s="23"/>
      <c r="M988" s="23"/>
      <c r="N988" s="23"/>
      <c r="O988" s="23"/>
      <c r="P988" s="23"/>
      <c r="Q988" s="23"/>
      <c r="R988" s="23"/>
      <c r="S988" s="23"/>
    </row>
    <row r="989" spans="1:19">
      <c r="A989" s="23"/>
      <c r="B989" s="23"/>
      <c r="C989" s="23"/>
      <c r="D989" s="23"/>
      <c r="E989" s="23"/>
      <c r="F989" s="23"/>
      <c r="G989" s="23"/>
      <c r="H989" s="23"/>
      <c r="I989" s="23"/>
      <c r="J989" s="23"/>
      <c r="K989" s="23"/>
      <c r="L989" s="23"/>
      <c r="M989" s="23"/>
      <c r="N989" s="23"/>
      <c r="O989" s="23"/>
      <c r="P989" s="23"/>
      <c r="Q989" s="23"/>
      <c r="R989" s="23"/>
      <c r="S989" s="23"/>
    </row>
    <row r="990" spans="1:19">
      <c r="A990" s="23"/>
      <c r="B990" s="23"/>
      <c r="C990" s="23"/>
      <c r="D990" s="23"/>
      <c r="E990" s="23"/>
      <c r="F990" s="23"/>
      <c r="G990" s="23"/>
      <c r="H990" s="23"/>
      <c r="I990" s="23"/>
      <c r="J990" s="23"/>
      <c r="K990" s="23"/>
      <c r="L990" s="23"/>
      <c r="M990" s="23"/>
      <c r="N990" s="23"/>
      <c r="O990" s="23"/>
      <c r="P990" s="23"/>
      <c r="Q990" s="23"/>
      <c r="R990" s="23"/>
      <c r="S990" s="23"/>
    </row>
    <row r="991" spans="1:19">
      <c r="A991" s="23"/>
      <c r="B991" s="23"/>
      <c r="C991" s="23"/>
      <c r="D991" s="23"/>
      <c r="E991" s="23"/>
      <c r="F991" s="23"/>
      <c r="G991" s="23"/>
      <c r="H991" s="23"/>
      <c r="I991" s="23"/>
      <c r="J991" s="23"/>
      <c r="K991" s="23"/>
      <c r="L991" s="23"/>
      <c r="M991" s="23"/>
      <c r="N991" s="23"/>
      <c r="O991" s="23"/>
      <c r="P991" s="23"/>
      <c r="Q991" s="23"/>
      <c r="R991" s="23"/>
      <c r="S991" s="23"/>
    </row>
    <row r="992" spans="1:19">
      <c r="A992" s="23"/>
      <c r="B992" s="23"/>
      <c r="C992" s="23"/>
      <c r="D992" s="23"/>
      <c r="E992" s="23"/>
      <c r="F992" s="23"/>
      <c r="G992" s="23"/>
      <c r="H992" s="23"/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</row>
    <row r="993" spans="1:19">
      <c r="A993" s="23"/>
      <c r="B993" s="23"/>
      <c r="C993" s="23"/>
      <c r="D993" s="23"/>
      <c r="E993" s="23"/>
      <c r="F993" s="23"/>
      <c r="G993" s="23"/>
      <c r="H993" s="23"/>
      <c r="I993" s="23"/>
      <c r="J993" s="23"/>
      <c r="K993" s="23"/>
      <c r="L993" s="23"/>
      <c r="M993" s="23"/>
      <c r="N993" s="23"/>
      <c r="O993" s="23"/>
      <c r="P993" s="23"/>
      <c r="Q993" s="23"/>
      <c r="R993" s="23"/>
      <c r="S993" s="23"/>
    </row>
    <row r="994" spans="1:19">
      <c r="A994" s="23"/>
      <c r="B994" s="23"/>
      <c r="C994" s="23"/>
      <c r="D994" s="23"/>
      <c r="E994" s="23"/>
      <c r="F994" s="23"/>
      <c r="G994" s="23"/>
      <c r="H994" s="23"/>
      <c r="I994" s="23"/>
      <c r="J994" s="23"/>
      <c r="K994" s="23"/>
      <c r="L994" s="23"/>
      <c r="M994" s="23"/>
      <c r="N994" s="23"/>
      <c r="O994" s="23"/>
      <c r="P994" s="23"/>
      <c r="Q994" s="23"/>
      <c r="R994" s="23"/>
      <c r="S994" s="23"/>
    </row>
    <row r="995" spans="1:19">
      <c r="A995" s="23"/>
      <c r="B995" s="23"/>
      <c r="C995" s="23"/>
      <c r="D995" s="23"/>
      <c r="E995" s="23"/>
      <c r="F995" s="23"/>
      <c r="G995" s="23"/>
      <c r="H995" s="23"/>
      <c r="I995" s="23"/>
      <c r="J995" s="23"/>
      <c r="K995" s="23"/>
      <c r="L995" s="23"/>
      <c r="M995" s="23"/>
      <c r="N995" s="23"/>
      <c r="O995" s="23"/>
      <c r="P995" s="23"/>
      <c r="Q995" s="23"/>
      <c r="R995" s="23"/>
      <c r="S995" s="23"/>
    </row>
    <row r="996" spans="1:19">
      <c r="A996" s="23"/>
      <c r="B996" s="23"/>
      <c r="C996" s="23"/>
      <c r="D996" s="23"/>
      <c r="E996" s="23"/>
      <c r="F996" s="23"/>
      <c r="G996" s="23"/>
      <c r="H996" s="23"/>
      <c r="I996" s="23"/>
      <c r="J996" s="23"/>
      <c r="K996" s="23"/>
      <c r="L996" s="23"/>
      <c r="M996" s="23"/>
      <c r="N996" s="23"/>
      <c r="O996" s="23"/>
      <c r="P996" s="23"/>
      <c r="Q996" s="23"/>
      <c r="R996" s="23"/>
      <c r="S996" s="23"/>
    </row>
    <row r="997" spans="1:19">
      <c r="A997" s="23"/>
      <c r="B997" s="23"/>
      <c r="C997" s="23"/>
      <c r="D997" s="23"/>
      <c r="E997" s="23"/>
      <c r="F997" s="23"/>
      <c r="G997" s="23"/>
      <c r="H997" s="23"/>
      <c r="I997" s="23"/>
      <c r="J997" s="23"/>
      <c r="K997" s="23"/>
      <c r="L997" s="23"/>
      <c r="M997" s="23"/>
      <c r="N997" s="23"/>
      <c r="O997" s="23"/>
      <c r="P997" s="23"/>
      <c r="Q997" s="23"/>
      <c r="R997" s="23"/>
      <c r="S997" s="23"/>
    </row>
    <row r="998" spans="1:19">
      <c r="A998" s="23"/>
      <c r="B998" s="23"/>
      <c r="C998" s="23"/>
      <c r="D998" s="23"/>
      <c r="E998" s="23"/>
      <c r="F998" s="23"/>
      <c r="G998" s="23"/>
      <c r="H998" s="23"/>
      <c r="I998" s="23"/>
      <c r="J998" s="23"/>
      <c r="K998" s="23"/>
      <c r="L998" s="23"/>
      <c r="M998" s="23"/>
      <c r="N998" s="23"/>
      <c r="O998" s="23"/>
      <c r="P998" s="23"/>
      <c r="Q998" s="23"/>
      <c r="R998" s="23"/>
      <c r="S998" s="23"/>
    </row>
    <row r="999" spans="1:19">
      <c r="A999" s="23"/>
      <c r="B999" s="23"/>
      <c r="C999" s="23"/>
      <c r="D999" s="23"/>
      <c r="E999" s="23"/>
      <c r="F999" s="23"/>
      <c r="G999" s="23"/>
      <c r="H999" s="23"/>
      <c r="I999" s="23"/>
      <c r="J999" s="23"/>
      <c r="K999" s="23"/>
      <c r="L999" s="23"/>
      <c r="M999" s="23"/>
      <c r="N999" s="23"/>
      <c r="O999" s="23"/>
      <c r="P999" s="23"/>
      <c r="Q999" s="23"/>
      <c r="R999" s="23"/>
      <c r="S999" s="23"/>
    </row>
    <row r="1000" spans="1:19">
      <c r="A1000" s="23"/>
      <c r="B1000" s="23"/>
      <c r="C1000" s="23"/>
      <c r="D1000" s="23"/>
      <c r="E1000" s="23"/>
      <c r="F1000" s="23"/>
      <c r="G1000" s="23"/>
      <c r="H1000" s="23"/>
      <c r="I1000" s="23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outlinePr summaryBelow="0" summaryRight="0"/>
  </sheetPr>
  <dimension ref="A1:A1000"/>
  <sheetViews>
    <sheetView workbookViewId="0"/>
  </sheetViews>
  <sheetFormatPr baseColWidth="10" defaultColWidth="11.1640625" defaultRowHeight="15" customHeight="1"/>
  <cols>
    <col min="1" max="6" width="11.1640625" customWidth="1"/>
  </cols>
  <sheetData>
    <row r="1" spans="1:1" ht="16">
      <c r="A1" s="27">
        <v>100</v>
      </c>
    </row>
    <row r="2" spans="1:1" ht="16">
      <c r="A2" s="27">
        <v>100</v>
      </c>
    </row>
    <row r="3" spans="1:1" ht="16">
      <c r="A3" s="27">
        <v>100</v>
      </c>
    </row>
    <row r="4" spans="1:1" ht="16">
      <c r="A4" s="27">
        <v>100</v>
      </c>
    </row>
    <row r="5" spans="1:1" ht="16">
      <c r="A5" s="27">
        <v>100</v>
      </c>
    </row>
    <row r="6" spans="1:1" ht="16">
      <c r="A6" s="27">
        <v>100</v>
      </c>
    </row>
    <row r="7" spans="1:1" ht="16">
      <c r="A7" s="27">
        <v>100</v>
      </c>
    </row>
    <row r="8" spans="1:1" ht="16">
      <c r="A8" s="27">
        <v>100</v>
      </c>
    </row>
    <row r="9" spans="1:1" ht="16">
      <c r="A9" s="27">
        <v>100</v>
      </c>
    </row>
    <row r="10" spans="1:1" ht="16">
      <c r="A10" s="27">
        <v>100</v>
      </c>
    </row>
    <row r="11" spans="1:1" ht="16">
      <c r="A11" s="27">
        <v>100</v>
      </c>
    </row>
    <row r="12" spans="1:1" ht="16">
      <c r="A12" s="27">
        <v>100</v>
      </c>
    </row>
    <row r="13" spans="1:1" ht="16">
      <c r="A13" s="27">
        <v>100</v>
      </c>
    </row>
    <row r="14" spans="1:1" ht="16">
      <c r="A14" s="27">
        <v>100</v>
      </c>
    </row>
    <row r="15" spans="1:1" ht="16">
      <c r="A15" s="27">
        <v>100</v>
      </c>
    </row>
    <row r="16" spans="1:1" ht="16">
      <c r="A16" s="27">
        <v>100</v>
      </c>
    </row>
    <row r="17" spans="1:1" ht="16">
      <c r="A17" s="27">
        <v>100</v>
      </c>
    </row>
    <row r="18" spans="1:1" ht="16">
      <c r="A18" s="27">
        <v>100</v>
      </c>
    </row>
    <row r="19" spans="1:1" ht="16">
      <c r="A19" s="27">
        <v>100</v>
      </c>
    </row>
    <row r="20" spans="1:1" ht="16">
      <c r="A20" s="27">
        <v>100</v>
      </c>
    </row>
    <row r="21" spans="1:1" ht="15.75" customHeight="1">
      <c r="A21" s="27">
        <v>100</v>
      </c>
    </row>
    <row r="22" spans="1:1" ht="15.75" customHeight="1">
      <c r="A22" s="27">
        <v>100</v>
      </c>
    </row>
    <row r="23" spans="1:1" ht="15.75" customHeight="1">
      <c r="A23" s="27">
        <v>100</v>
      </c>
    </row>
    <row r="24" spans="1:1" ht="15.75" customHeight="1">
      <c r="A24" s="27">
        <v>100</v>
      </c>
    </row>
    <row r="25" spans="1:1" ht="15.75" customHeight="1">
      <c r="A25" s="27">
        <v>100</v>
      </c>
    </row>
    <row r="26" spans="1:1" ht="15.75" customHeight="1">
      <c r="A26" s="27">
        <v>100</v>
      </c>
    </row>
    <row r="27" spans="1:1" ht="15.75" customHeight="1">
      <c r="A27" s="27">
        <v>100</v>
      </c>
    </row>
    <row r="28" spans="1:1" ht="15.75" customHeight="1">
      <c r="A28" s="27">
        <v>100</v>
      </c>
    </row>
    <row r="29" spans="1:1" ht="15.75" customHeight="1">
      <c r="A29" s="27">
        <v>100</v>
      </c>
    </row>
    <row r="30" spans="1:1" ht="15.75" customHeight="1">
      <c r="A30" s="27">
        <v>100</v>
      </c>
    </row>
    <row r="31" spans="1:1" ht="15.75" customHeight="1">
      <c r="A31" s="27">
        <v>100</v>
      </c>
    </row>
    <row r="32" spans="1:1" ht="15.75" customHeight="1">
      <c r="A32" s="27">
        <v>100</v>
      </c>
    </row>
    <row r="33" spans="1:1" ht="15.75" customHeight="1">
      <c r="A33" s="27">
        <v>100</v>
      </c>
    </row>
    <row r="34" spans="1:1" ht="15.75" customHeight="1">
      <c r="A34" s="27">
        <v>100</v>
      </c>
    </row>
    <row r="35" spans="1:1" ht="15.75" customHeight="1">
      <c r="A35" s="27">
        <v>100</v>
      </c>
    </row>
    <row r="36" spans="1:1" ht="15.75" customHeight="1">
      <c r="A36" s="27">
        <v>100</v>
      </c>
    </row>
    <row r="37" spans="1:1" ht="15.75" customHeight="1">
      <c r="A37" s="27">
        <v>100</v>
      </c>
    </row>
    <row r="38" spans="1:1" ht="15.75" customHeight="1">
      <c r="A38" s="27">
        <v>100</v>
      </c>
    </row>
    <row r="39" spans="1:1" ht="15.75" customHeight="1">
      <c r="A39" s="27">
        <v>100</v>
      </c>
    </row>
    <row r="40" spans="1:1" ht="15.75" customHeight="1">
      <c r="A40" s="27">
        <v>100</v>
      </c>
    </row>
    <row r="41" spans="1:1" ht="15.75" customHeight="1">
      <c r="A41" s="27">
        <v>100</v>
      </c>
    </row>
    <row r="42" spans="1:1" ht="15.75" customHeight="1">
      <c r="A42" s="27">
        <v>100</v>
      </c>
    </row>
    <row r="43" spans="1:1" ht="15.75" customHeight="1">
      <c r="A43" s="27">
        <v>100</v>
      </c>
    </row>
    <row r="44" spans="1:1" ht="15.75" customHeight="1">
      <c r="A44" s="27">
        <v>100</v>
      </c>
    </row>
    <row r="45" spans="1:1" ht="15.75" customHeight="1">
      <c r="A45" s="27">
        <v>100</v>
      </c>
    </row>
    <row r="46" spans="1:1" ht="15.75" customHeight="1">
      <c r="A46" s="27">
        <v>100</v>
      </c>
    </row>
    <row r="47" spans="1:1" ht="15.75" customHeight="1">
      <c r="A47" s="27">
        <v>100</v>
      </c>
    </row>
    <row r="48" spans="1:1" ht="15.75" customHeight="1">
      <c r="A48" s="27">
        <v>100</v>
      </c>
    </row>
    <row r="49" spans="1:1" ht="15.75" customHeight="1">
      <c r="A49" s="27">
        <v>100</v>
      </c>
    </row>
    <row r="50" spans="1:1" ht="15.75" customHeight="1">
      <c r="A50" s="27">
        <v>100</v>
      </c>
    </row>
    <row r="51" spans="1:1" ht="15.75" customHeight="1">
      <c r="A51" s="27">
        <v>100</v>
      </c>
    </row>
    <row r="52" spans="1:1" ht="15.75" customHeight="1">
      <c r="A52" s="27">
        <v>100</v>
      </c>
    </row>
    <row r="53" spans="1:1" ht="15.75" customHeight="1">
      <c r="A53" s="27">
        <v>100</v>
      </c>
    </row>
    <row r="54" spans="1:1" ht="15.75" customHeight="1">
      <c r="A54" s="27">
        <v>100</v>
      </c>
    </row>
    <row r="55" spans="1:1" ht="15.75" customHeight="1">
      <c r="A55" s="27">
        <v>100</v>
      </c>
    </row>
    <row r="56" spans="1:1" ht="15.75" customHeight="1">
      <c r="A56" s="27">
        <v>100</v>
      </c>
    </row>
    <row r="57" spans="1:1" ht="15.75" customHeight="1">
      <c r="A57" s="27">
        <v>100</v>
      </c>
    </row>
    <row r="58" spans="1:1" ht="15.75" customHeight="1">
      <c r="A58" s="27">
        <v>100</v>
      </c>
    </row>
    <row r="59" spans="1:1" ht="15.75" customHeight="1">
      <c r="A59" s="27">
        <v>100</v>
      </c>
    </row>
    <row r="60" spans="1:1" ht="15.75" customHeight="1">
      <c r="A60" s="27">
        <v>100</v>
      </c>
    </row>
    <row r="61" spans="1:1" ht="15.75" customHeight="1">
      <c r="A61" s="27">
        <v>100</v>
      </c>
    </row>
    <row r="62" spans="1:1" ht="15.75" customHeight="1">
      <c r="A62" s="27">
        <v>100</v>
      </c>
    </row>
    <row r="63" spans="1:1" ht="15.75" customHeight="1">
      <c r="A63" s="27">
        <v>100</v>
      </c>
    </row>
    <row r="64" spans="1:1" ht="15.75" customHeight="1">
      <c r="A64" s="27">
        <v>100</v>
      </c>
    </row>
    <row r="65" spans="1:1" ht="15.75" customHeight="1">
      <c r="A65" s="27">
        <v>100</v>
      </c>
    </row>
    <row r="66" spans="1:1" ht="15.75" customHeight="1">
      <c r="A66" s="27">
        <v>100</v>
      </c>
    </row>
    <row r="67" spans="1:1" ht="15.75" customHeight="1">
      <c r="A67" s="27">
        <v>100</v>
      </c>
    </row>
    <row r="68" spans="1:1" ht="15.75" customHeight="1">
      <c r="A68" s="27">
        <v>100</v>
      </c>
    </row>
    <row r="69" spans="1:1" ht="15.75" customHeight="1">
      <c r="A69" s="27">
        <v>100</v>
      </c>
    </row>
    <row r="70" spans="1:1" ht="15.75" customHeight="1">
      <c r="A70" s="27">
        <v>100</v>
      </c>
    </row>
    <row r="71" spans="1:1" ht="15.75" customHeight="1">
      <c r="A71" s="27">
        <v>100</v>
      </c>
    </row>
    <row r="72" spans="1:1" ht="15.75" customHeight="1">
      <c r="A72" s="27">
        <v>100</v>
      </c>
    </row>
    <row r="73" spans="1:1" ht="15.75" customHeight="1">
      <c r="A73" s="27">
        <v>100</v>
      </c>
    </row>
    <row r="74" spans="1:1" ht="15.75" customHeight="1">
      <c r="A74" s="27">
        <v>100</v>
      </c>
    </row>
    <row r="75" spans="1:1" ht="15.75" customHeight="1">
      <c r="A75" s="27">
        <v>100</v>
      </c>
    </row>
    <row r="76" spans="1:1" ht="15.75" customHeight="1">
      <c r="A76" s="27">
        <v>100</v>
      </c>
    </row>
    <row r="77" spans="1:1" ht="15.75" customHeight="1">
      <c r="A77" s="27">
        <v>100</v>
      </c>
    </row>
    <row r="78" spans="1:1" ht="15.75" customHeight="1">
      <c r="A78" s="27">
        <v>100</v>
      </c>
    </row>
    <row r="79" spans="1:1" ht="15.75" customHeight="1">
      <c r="A79" s="27">
        <v>100</v>
      </c>
    </row>
    <row r="80" spans="1:1" ht="15.75" customHeight="1">
      <c r="A80" s="27">
        <v>100</v>
      </c>
    </row>
    <row r="81" spans="1:1" ht="15.75" customHeight="1">
      <c r="A81" s="27">
        <v>100</v>
      </c>
    </row>
    <row r="82" spans="1:1" ht="15.75" customHeight="1">
      <c r="A82" s="27">
        <v>100</v>
      </c>
    </row>
    <row r="83" spans="1:1" ht="15.75" customHeight="1">
      <c r="A83" s="27">
        <v>100</v>
      </c>
    </row>
    <row r="84" spans="1:1" ht="15.75" customHeight="1">
      <c r="A84" s="27">
        <v>100</v>
      </c>
    </row>
    <row r="85" spans="1:1" ht="15.75" customHeight="1">
      <c r="A85" s="27">
        <v>100</v>
      </c>
    </row>
    <row r="86" spans="1:1" ht="15.75" customHeight="1">
      <c r="A86" s="27">
        <v>100</v>
      </c>
    </row>
    <row r="87" spans="1:1" ht="15.75" customHeight="1">
      <c r="A87" s="27">
        <v>100</v>
      </c>
    </row>
    <row r="88" spans="1:1" ht="15.75" customHeight="1">
      <c r="A88" s="27">
        <v>100</v>
      </c>
    </row>
    <row r="89" spans="1:1" ht="15.75" customHeight="1">
      <c r="A89" s="27">
        <v>100</v>
      </c>
    </row>
    <row r="90" spans="1:1" ht="15.75" customHeight="1">
      <c r="A90" s="27">
        <v>100</v>
      </c>
    </row>
    <row r="91" spans="1:1" ht="15.75" customHeight="1">
      <c r="A91" s="27">
        <v>100</v>
      </c>
    </row>
    <row r="92" spans="1:1" ht="15.75" customHeight="1">
      <c r="A92" s="27">
        <v>100</v>
      </c>
    </row>
    <row r="93" spans="1:1" ht="15.75" customHeight="1">
      <c r="A93" s="27">
        <v>100</v>
      </c>
    </row>
    <row r="94" spans="1:1" ht="15.75" customHeight="1">
      <c r="A94" s="27">
        <v>100</v>
      </c>
    </row>
    <row r="95" spans="1:1" ht="15.75" customHeight="1">
      <c r="A95" s="27">
        <v>100</v>
      </c>
    </row>
    <row r="96" spans="1:1" ht="15.75" customHeight="1">
      <c r="A96" s="27">
        <v>100</v>
      </c>
    </row>
    <row r="97" spans="1:1" ht="15.75" customHeight="1">
      <c r="A97" s="27">
        <v>100</v>
      </c>
    </row>
    <row r="98" spans="1:1" ht="15.75" customHeight="1">
      <c r="A98" s="27">
        <v>100</v>
      </c>
    </row>
    <row r="99" spans="1:1" ht="15.75" customHeight="1">
      <c r="A99" s="27">
        <v>100</v>
      </c>
    </row>
    <row r="100" spans="1:1" ht="15.75" customHeight="1">
      <c r="A100" s="27">
        <v>100</v>
      </c>
    </row>
    <row r="101" spans="1:1" ht="15.75" customHeight="1">
      <c r="A101" s="27">
        <v>100</v>
      </c>
    </row>
    <row r="102" spans="1:1" ht="15.75" customHeight="1">
      <c r="A102" s="27">
        <v>100</v>
      </c>
    </row>
    <row r="103" spans="1:1" ht="15.75" customHeight="1">
      <c r="A103" s="27">
        <v>100</v>
      </c>
    </row>
    <row r="104" spans="1:1" ht="15.75" customHeight="1">
      <c r="A104" s="27">
        <v>100</v>
      </c>
    </row>
    <row r="105" spans="1:1" ht="15.75" customHeight="1">
      <c r="A105" s="27">
        <v>100</v>
      </c>
    </row>
    <row r="106" spans="1:1" ht="15.75" customHeight="1">
      <c r="A106" s="27">
        <v>100</v>
      </c>
    </row>
    <row r="107" spans="1:1" ht="15.75" customHeight="1">
      <c r="A107" s="27">
        <v>100</v>
      </c>
    </row>
    <row r="108" spans="1:1" ht="15.75" customHeight="1">
      <c r="A108" s="27">
        <v>100</v>
      </c>
    </row>
    <row r="109" spans="1:1" ht="15.75" customHeight="1">
      <c r="A109" s="27">
        <v>100</v>
      </c>
    </row>
    <row r="110" spans="1:1" ht="15.75" customHeight="1">
      <c r="A110" s="27">
        <v>100</v>
      </c>
    </row>
    <row r="111" spans="1:1" ht="15.75" customHeight="1">
      <c r="A111" s="27">
        <v>100</v>
      </c>
    </row>
    <row r="112" spans="1:1" ht="15.75" customHeight="1">
      <c r="A112" s="27">
        <v>100</v>
      </c>
    </row>
    <row r="113" spans="1:1" ht="15.75" customHeight="1">
      <c r="A113" s="27">
        <v>100</v>
      </c>
    </row>
    <row r="114" spans="1:1" ht="15.75" customHeight="1">
      <c r="A114" s="27">
        <v>100</v>
      </c>
    </row>
    <row r="115" spans="1:1" ht="15.75" customHeight="1">
      <c r="A115" s="27">
        <v>100</v>
      </c>
    </row>
    <row r="116" spans="1:1" ht="15.75" customHeight="1">
      <c r="A116" s="27">
        <v>100</v>
      </c>
    </row>
    <row r="117" spans="1:1" ht="15.75" customHeight="1">
      <c r="A117" s="27">
        <v>100</v>
      </c>
    </row>
    <row r="118" spans="1:1" ht="15.75" customHeight="1">
      <c r="A118" s="27">
        <v>100</v>
      </c>
    </row>
    <row r="119" spans="1:1" ht="15.75" customHeight="1">
      <c r="A119" s="27">
        <v>100</v>
      </c>
    </row>
    <row r="120" spans="1:1" ht="15.75" customHeight="1">
      <c r="A120" s="27">
        <v>100</v>
      </c>
    </row>
    <row r="121" spans="1:1" ht="15.75" customHeight="1">
      <c r="A121" s="27">
        <v>100</v>
      </c>
    </row>
    <row r="122" spans="1:1" ht="15.75" customHeight="1">
      <c r="A122" s="27">
        <v>100</v>
      </c>
    </row>
    <row r="123" spans="1:1" ht="15.75" customHeight="1">
      <c r="A123" s="27">
        <v>100</v>
      </c>
    </row>
    <row r="124" spans="1:1" ht="15.75" customHeight="1">
      <c r="A124" s="27">
        <v>100</v>
      </c>
    </row>
    <row r="125" spans="1:1" ht="15.75" customHeight="1">
      <c r="A125" s="27">
        <v>100</v>
      </c>
    </row>
    <row r="126" spans="1:1" ht="15.75" customHeight="1">
      <c r="A126" s="27">
        <v>100</v>
      </c>
    </row>
    <row r="127" spans="1:1" ht="15.75" customHeight="1">
      <c r="A127" s="27">
        <v>100</v>
      </c>
    </row>
    <row r="128" spans="1:1" ht="15.75" customHeight="1">
      <c r="A128" s="27">
        <v>100</v>
      </c>
    </row>
    <row r="129" spans="1:1" ht="15.75" customHeight="1">
      <c r="A129" s="27">
        <v>100</v>
      </c>
    </row>
    <row r="130" spans="1:1" ht="15.75" customHeight="1">
      <c r="A130" s="27">
        <v>100</v>
      </c>
    </row>
    <row r="131" spans="1:1" ht="15.75" customHeight="1">
      <c r="A131" s="27">
        <v>100</v>
      </c>
    </row>
    <row r="132" spans="1:1" ht="15.75" customHeight="1">
      <c r="A132" s="27">
        <v>100</v>
      </c>
    </row>
    <row r="133" spans="1:1" ht="15.75" customHeight="1">
      <c r="A133" s="27">
        <v>100</v>
      </c>
    </row>
    <row r="134" spans="1:1" ht="15.75" customHeight="1">
      <c r="A134" s="27">
        <v>100</v>
      </c>
    </row>
    <row r="135" spans="1:1" ht="15.75" customHeight="1">
      <c r="A135" s="27">
        <v>100</v>
      </c>
    </row>
    <row r="136" spans="1:1" ht="15.75" customHeight="1">
      <c r="A136" s="27">
        <v>100</v>
      </c>
    </row>
    <row r="137" spans="1:1" ht="15.75" customHeight="1">
      <c r="A137" s="27">
        <v>100</v>
      </c>
    </row>
    <row r="138" spans="1:1" ht="15.75" customHeight="1">
      <c r="A138" s="27">
        <v>100</v>
      </c>
    </row>
    <row r="139" spans="1:1" ht="15.75" customHeight="1">
      <c r="A139" s="27">
        <v>100</v>
      </c>
    </row>
    <row r="140" spans="1:1" ht="15.75" customHeight="1">
      <c r="A140" s="27">
        <v>100</v>
      </c>
    </row>
    <row r="141" spans="1:1" ht="15.75" customHeight="1"/>
    <row r="142" spans="1:1" ht="15.75" customHeight="1"/>
    <row r="143" spans="1:1" ht="15.75" customHeight="1"/>
    <row r="144" spans="1:1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407"/>
  <sheetViews>
    <sheetView workbookViewId="0">
      <pane ySplit="1" topLeftCell="A2" activePane="bottomLeft" state="frozen"/>
      <selection activeCell="H3" sqref="H3:T13"/>
      <selection pane="bottomLeft" activeCell="H3" sqref="H3:T13"/>
    </sheetView>
  </sheetViews>
  <sheetFormatPr baseColWidth="10" defaultColWidth="11.1640625" defaultRowHeight="15" customHeight="1"/>
  <cols>
    <col min="1" max="1" width="46.1640625" customWidth="1"/>
    <col min="2" max="2" width="48.33203125" customWidth="1"/>
    <col min="3" max="3" width="57" customWidth="1"/>
    <col min="4" max="4" width="14.6640625" customWidth="1"/>
    <col min="5" max="6" width="21.1640625" customWidth="1"/>
    <col min="7" max="7" width="26.33203125" customWidth="1"/>
    <col min="8" max="8" width="13.6640625" customWidth="1"/>
    <col min="9" max="11" width="10.83203125" customWidth="1"/>
    <col min="12" max="16" width="10.5" customWidth="1"/>
    <col min="17" max="17" width="14" customWidth="1"/>
    <col min="18" max="18" width="11" customWidth="1"/>
    <col min="19" max="19" width="13.1640625" customWidth="1"/>
    <col min="20" max="21" width="12.33203125" customWidth="1"/>
  </cols>
  <sheetData>
    <row r="1" spans="1:21" ht="39.75" customHeight="1">
      <c r="A1" s="36" t="s">
        <v>0</v>
      </c>
      <c r="B1" s="37"/>
      <c r="C1" s="37"/>
      <c r="D1" s="37"/>
      <c r="E1" s="37"/>
      <c r="F1" s="37"/>
      <c r="G1" s="37"/>
      <c r="H1" s="38"/>
      <c r="I1" s="36" t="s">
        <v>1</v>
      </c>
      <c r="J1" s="37"/>
      <c r="K1" s="37"/>
      <c r="L1" s="37"/>
      <c r="M1" s="37"/>
      <c r="N1" s="37"/>
      <c r="O1" s="38"/>
      <c r="P1" s="39" t="s">
        <v>463</v>
      </c>
      <c r="Q1" s="37"/>
      <c r="R1" s="37"/>
      <c r="S1" s="37"/>
      <c r="T1" s="37"/>
      <c r="U1" s="38"/>
    </row>
    <row r="2" spans="1:21" ht="39.75" customHeight="1">
      <c r="A2" s="1" t="s">
        <v>3</v>
      </c>
      <c r="B2" s="2" t="s">
        <v>4</v>
      </c>
      <c r="C2" s="2" t="s">
        <v>5</v>
      </c>
      <c r="D2" s="2" t="s">
        <v>6</v>
      </c>
      <c r="E2" s="2" t="s">
        <v>7</v>
      </c>
      <c r="F2" s="2" t="s">
        <v>8</v>
      </c>
      <c r="G2" s="2" t="s">
        <v>9</v>
      </c>
      <c r="H2" s="2" t="s">
        <v>10</v>
      </c>
      <c r="I2" s="2" t="s">
        <v>11</v>
      </c>
      <c r="J2" s="3" t="s">
        <v>12</v>
      </c>
      <c r="K2" s="3" t="s">
        <v>13</v>
      </c>
      <c r="L2" s="3" t="s">
        <v>14</v>
      </c>
      <c r="M2" s="3" t="s">
        <v>15</v>
      </c>
      <c r="N2" s="3" t="s">
        <v>16</v>
      </c>
      <c r="O2" s="3" t="s">
        <v>17</v>
      </c>
      <c r="P2" s="3" t="s">
        <v>18</v>
      </c>
      <c r="Q2" s="3" t="s">
        <v>19</v>
      </c>
      <c r="R2" s="3" t="s">
        <v>20</v>
      </c>
      <c r="S2" s="3" t="s">
        <v>21</v>
      </c>
      <c r="T2" s="3" t="s">
        <v>22</v>
      </c>
      <c r="U2" s="2" t="s">
        <v>23</v>
      </c>
    </row>
    <row r="3" spans="1:21" ht="39.75" customHeight="1">
      <c r="A3" s="32" t="s">
        <v>24</v>
      </c>
      <c r="B3" s="29" t="s">
        <v>24</v>
      </c>
      <c r="C3" s="4" t="s">
        <v>25</v>
      </c>
      <c r="D3" s="5">
        <f>'PRESIDENCIA 26-27'!C3</f>
        <v>180</v>
      </c>
      <c r="E3" s="5" t="str">
        <f>'PRESIDENCIA 26-27'!D3</f>
        <v>CITA</v>
      </c>
      <c r="F3" s="5" t="str">
        <f>'PRESIDENCIA 26-27'!E3</f>
        <v>ASCENDENTE</v>
      </c>
      <c r="G3" s="5" t="str">
        <f>'PRESIDENCIA 26-27'!F3</f>
        <v>BITACORA DE ATENCION</v>
      </c>
      <c r="H3" s="6" t="e">
        <f>'PRESIDENCIA 26-27'!G3</f>
        <v>#REF!</v>
      </c>
      <c r="I3" s="5" t="e">
        <f>'PRESIDENCIA 26-27'!H3</f>
        <v>#REF!</v>
      </c>
      <c r="J3" s="5" t="e">
        <f>'PRESIDENCIA 26-27'!I3</f>
        <v>#REF!</v>
      </c>
      <c r="K3" s="5" t="e">
        <f>'PRESIDENCIA 26-27'!J3</f>
        <v>#REF!</v>
      </c>
      <c r="L3" s="5" t="e">
        <f>'PRESIDENCIA 26-27'!K3</f>
        <v>#REF!</v>
      </c>
      <c r="M3" s="5" t="e">
        <f>'PRESIDENCIA 26-27'!L3</f>
        <v>#REF!</v>
      </c>
      <c r="N3" s="5" t="e">
        <f>'PRESIDENCIA 26-27'!M3</f>
        <v>#REF!</v>
      </c>
      <c r="O3" s="5" t="e">
        <f>'PRESIDENCIA 26-27'!N3</f>
        <v>#REF!</v>
      </c>
      <c r="P3" s="5" t="e">
        <f>'PRESIDENCIA 26-27'!O3</f>
        <v>#REF!</v>
      </c>
      <c r="Q3" s="5" t="e">
        <f>'PRESIDENCIA 26-27'!P3</f>
        <v>#REF!</v>
      </c>
      <c r="R3" s="5" t="e">
        <f>'PRESIDENCIA 26-27'!Q3</f>
        <v>#REF!</v>
      </c>
      <c r="S3" s="5" t="e">
        <f>'PRESIDENCIA 26-27'!R3</f>
        <v>#REF!</v>
      </c>
      <c r="T3" s="5" t="e">
        <f>'PRESIDENCIA 26-27'!S3</f>
        <v>#REF!</v>
      </c>
      <c r="U3" s="5" t="e">
        <f>'PRESIDENCIA 26-27'!T3</f>
        <v>#REF!</v>
      </c>
    </row>
    <row r="4" spans="1:21" ht="39.75" customHeight="1">
      <c r="A4" s="30"/>
      <c r="B4" s="31"/>
      <c r="C4" s="4" t="s">
        <v>26</v>
      </c>
      <c r="D4" s="5">
        <f>'PRESIDENCIA 26-27'!C4</f>
        <v>780</v>
      </c>
      <c r="E4" s="5" t="str">
        <f>'PRESIDENCIA 26-27'!D4</f>
        <v>NÚM. DE PERSONAS</v>
      </c>
      <c r="F4" s="5" t="str">
        <f>'PRESIDENCIA 26-27'!E4</f>
        <v>ASCENDENTE</v>
      </c>
      <c r="G4" s="5" t="str">
        <f>'PRESIDENCIA 26-27'!F4</f>
        <v>BITACORA DE ATENCION</v>
      </c>
      <c r="H4" s="6" t="e">
        <f>'PRESIDENCIA 26-27'!G4</f>
        <v>#REF!</v>
      </c>
      <c r="I4" s="5" t="e">
        <f>'PRESIDENCIA 26-27'!H4</f>
        <v>#REF!</v>
      </c>
      <c r="J4" s="5" t="e">
        <f>'PRESIDENCIA 26-27'!I4</f>
        <v>#REF!</v>
      </c>
      <c r="K4" s="5" t="e">
        <f>'PRESIDENCIA 26-27'!J4</f>
        <v>#REF!</v>
      </c>
      <c r="L4" s="5" t="e">
        <f>'PRESIDENCIA 26-27'!K4</f>
        <v>#REF!</v>
      </c>
      <c r="M4" s="5" t="e">
        <f>'PRESIDENCIA 26-27'!L4</f>
        <v>#REF!</v>
      </c>
      <c r="N4" s="5" t="e">
        <f>'PRESIDENCIA 26-27'!M4</f>
        <v>#REF!</v>
      </c>
      <c r="O4" s="5" t="e">
        <f>'PRESIDENCIA 26-27'!N4</f>
        <v>#REF!</v>
      </c>
      <c r="P4" s="5" t="e">
        <f>'PRESIDENCIA 26-27'!O4</f>
        <v>#REF!</v>
      </c>
      <c r="Q4" s="5" t="e">
        <f>'PRESIDENCIA 26-27'!P4</f>
        <v>#REF!</v>
      </c>
      <c r="R4" s="5" t="e">
        <f>'PRESIDENCIA 26-27'!Q4</f>
        <v>#REF!</v>
      </c>
      <c r="S4" s="5" t="e">
        <f>'PRESIDENCIA 26-27'!R4</f>
        <v>#REF!</v>
      </c>
      <c r="T4" s="5" t="e">
        <f>'PRESIDENCIA 26-27'!S4</f>
        <v>#REF!</v>
      </c>
      <c r="U4" s="5" t="e">
        <f>'PRESIDENCIA 26-27'!T4</f>
        <v>#REF!</v>
      </c>
    </row>
    <row r="5" spans="1:21" ht="39.75" customHeight="1">
      <c r="A5" s="30"/>
      <c r="B5" s="29" t="s">
        <v>27</v>
      </c>
      <c r="C5" s="4" t="s">
        <v>26</v>
      </c>
      <c r="D5" s="5">
        <f>'PRESIDENCIA 26-27'!C5</f>
        <v>780</v>
      </c>
      <c r="E5" s="5" t="str">
        <f>'PRESIDENCIA 26-27'!D5</f>
        <v>NUM. PERSONAS</v>
      </c>
      <c r="F5" s="5" t="str">
        <f>'PRESIDENCIA 26-27'!E5</f>
        <v>ASCENDENTE</v>
      </c>
      <c r="G5" s="5" t="str">
        <f>'PRESIDENCIA 26-27'!F5</f>
        <v>BITACORA DE ATENCION</v>
      </c>
      <c r="H5" s="6" t="e">
        <f>'PRESIDENCIA 26-27'!G5</f>
        <v>#REF!</v>
      </c>
      <c r="I5" s="5" t="e">
        <f>'PRESIDENCIA 26-27'!H5</f>
        <v>#REF!</v>
      </c>
      <c r="J5" s="5" t="e">
        <f>'PRESIDENCIA 26-27'!I5</f>
        <v>#REF!</v>
      </c>
      <c r="K5" s="5" t="e">
        <f>'PRESIDENCIA 26-27'!J5</f>
        <v>#REF!</v>
      </c>
      <c r="L5" s="5" t="e">
        <f>'PRESIDENCIA 26-27'!K5</f>
        <v>#REF!</v>
      </c>
      <c r="M5" s="5" t="e">
        <f>'PRESIDENCIA 26-27'!L5</f>
        <v>#REF!</v>
      </c>
      <c r="N5" s="5" t="e">
        <f>'PRESIDENCIA 26-27'!M5</f>
        <v>#REF!</v>
      </c>
      <c r="O5" s="5" t="e">
        <f>'PRESIDENCIA 26-27'!N5</f>
        <v>#REF!</v>
      </c>
      <c r="P5" s="5" t="e">
        <f>'PRESIDENCIA 26-27'!O5</f>
        <v>#REF!</v>
      </c>
      <c r="Q5" s="5" t="e">
        <f>'PRESIDENCIA 26-27'!P5</f>
        <v>#REF!</v>
      </c>
      <c r="R5" s="5" t="e">
        <f>'PRESIDENCIA 26-27'!Q5</f>
        <v>#REF!</v>
      </c>
      <c r="S5" s="5" t="e">
        <f>'PRESIDENCIA 26-27'!R5</f>
        <v>#REF!</v>
      </c>
      <c r="T5" s="5" t="e">
        <f>'PRESIDENCIA 26-27'!S5</f>
        <v>#REF!</v>
      </c>
      <c r="U5" s="5" t="e">
        <f>'PRESIDENCIA 26-27'!T5</f>
        <v>#REF!</v>
      </c>
    </row>
    <row r="6" spans="1:21" ht="39.75" customHeight="1">
      <c r="A6" s="30"/>
      <c r="B6" s="31"/>
      <c r="C6" s="4" t="s">
        <v>28</v>
      </c>
      <c r="D6" s="5">
        <f>'PRESIDENCIA 26-27'!C6</f>
        <v>100</v>
      </c>
      <c r="E6" s="5" t="str">
        <f>'PRESIDENCIA 26-27'!D6</f>
        <v>NÚM. ACUERDOS</v>
      </c>
      <c r="F6" s="5" t="str">
        <f>'PRESIDENCIA 26-27'!E6</f>
        <v>ASCENDENTE</v>
      </c>
      <c r="G6" s="5" t="str">
        <f>'PRESIDENCIA 26-27'!F6</f>
        <v>MINUTA DE REUNION</v>
      </c>
      <c r="H6" s="6" t="e">
        <f>'PRESIDENCIA 26-27'!G6</f>
        <v>#REF!</v>
      </c>
      <c r="I6" s="5" t="e">
        <f>'PRESIDENCIA 26-27'!H6</f>
        <v>#REF!</v>
      </c>
      <c r="J6" s="5" t="e">
        <f>'PRESIDENCIA 26-27'!I6</f>
        <v>#REF!</v>
      </c>
      <c r="K6" s="5" t="e">
        <f>'PRESIDENCIA 26-27'!J6</f>
        <v>#REF!</v>
      </c>
      <c r="L6" s="5" t="e">
        <f>'PRESIDENCIA 26-27'!K6</f>
        <v>#REF!</v>
      </c>
      <c r="M6" s="5" t="e">
        <f>'PRESIDENCIA 26-27'!L6</f>
        <v>#REF!</v>
      </c>
      <c r="N6" s="5" t="e">
        <f>'PRESIDENCIA 26-27'!M6</f>
        <v>#REF!</v>
      </c>
      <c r="O6" s="5" t="e">
        <f>'PRESIDENCIA 26-27'!N6</f>
        <v>#REF!</v>
      </c>
      <c r="P6" s="5" t="e">
        <f>'PRESIDENCIA 26-27'!O6</f>
        <v>#REF!</v>
      </c>
      <c r="Q6" s="5" t="e">
        <f>'PRESIDENCIA 26-27'!P6</f>
        <v>#REF!</v>
      </c>
      <c r="R6" s="5" t="e">
        <f>'PRESIDENCIA 26-27'!Q6</f>
        <v>#REF!</v>
      </c>
      <c r="S6" s="5" t="e">
        <f>'PRESIDENCIA 26-27'!R6</f>
        <v>#REF!</v>
      </c>
      <c r="T6" s="5" t="e">
        <f>'PRESIDENCIA 26-27'!S6</f>
        <v>#REF!</v>
      </c>
      <c r="U6" s="5" t="e">
        <f>'PRESIDENCIA 26-27'!T6</f>
        <v>#REF!</v>
      </c>
    </row>
    <row r="7" spans="1:21" ht="39.75" customHeight="1">
      <c r="A7" s="30"/>
      <c r="B7" s="29" t="s">
        <v>29</v>
      </c>
      <c r="C7" s="4" t="s">
        <v>30</v>
      </c>
      <c r="D7" s="5">
        <f>'PRESIDENCIA 26-27'!C7</f>
        <v>350</v>
      </c>
      <c r="E7" s="5" t="str">
        <f>'PRESIDENCIA 26-27'!D7</f>
        <v>NÚM. DE SOLICITUDES</v>
      </c>
      <c r="F7" s="5" t="str">
        <f>'PRESIDENCIA 26-27'!E7</f>
        <v>ASCENDENTE</v>
      </c>
      <c r="G7" s="5" t="str">
        <f>'PRESIDENCIA 26-27'!F7</f>
        <v>PNT</v>
      </c>
      <c r="H7" s="6" t="e">
        <f>'PRESIDENCIA 26-27'!G7</f>
        <v>#REF!</v>
      </c>
      <c r="I7" s="5" t="e">
        <f>'PRESIDENCIA 26-27'!H7</f>
        <v>#REF!</v>
      </c>
      <c r="J7" s="5" t="e">
        <f>'PRESIDENCIA 26-27'!I7</f>
        <v>#REF!</v>
      </c>
      <c r="K7" s="5" t="e">
        <f>'PRESIDENCIA 26-27'!J7</f>
        <v>#REF!</v>
      </c>
      <c r="L7" s="5" t="e">
        <f>'PRESIDENCIA 26-27'!K7</f>
        <v>#REF!</v>
      </c>
      <c r="M7" s="5" t="e">
        <f>'PRESIDENCIA 26-27'!L7</f>
        <v>#REF!</v>
      </c>
      <c r="N7" s="5" t="e">
        <f>'PRESIDENCIA 26-27'!M7</f>
        <v>#REF!</v>
      </c>
      <c r="O7" s="5" t="e">
        <f>'PRESIDENCIA 26-27'!N7</f>
        <v>#REF!</v>
      </c>
      <c r="P7" s="5" t="e">
        <f>'PRESIDENCIA 26-27'!O7</f>
        <v>#REF!</v>
      </c>
      <c r="Q7" s="5" t="e">
        <f>'PRESIDENCIA 26-27'!P7</f>
        <v>#REF!</v>
      </c>
      <c r="R7" s="5" t="e">
        <f>'PRESIDENCIA 26-27'!Q7</f>
        <v>#REF!</v>
      </c>
      <c r="S7" s="5" t="e">
        <f>'PRESIDENCIA 26-27'!R7</f>
        <v>#REF!</v>
      </c>
      <c r="T7" s="5" t="e">
        <f>'PRESIDENCIA 26-27'!S7</f>
        <v>#REF!</v>
      </c>
      <c r="U7" s="5" t="e">
        <f>'PRESIDENCIA 26-27'!T7</f>
        <v>#REF!</v>
      </c>
    </row>
    <row r="8" spans="1:21" ht="39.75" customHeight="1">
      <c r="A8" s="30"/>
      <c r="B8" s="31"/>
      <c r="C8" s="4" t="s">
        <v>31</v>
      </c>
      <c r="D8" s="5">
        <f>'PRESIDENCIA 26-27'!C8</f>
        <v>12</v>
      </c>
      <c r="E8" s="5" t="str">
        <f>'PRESIDENCIA 26-27'!D8</f>
        <v>NÚM. DE CAPACITACIONES</v>
      </c>
      <c r="F8" s="5" t="str">
        <f>'PRESIDENCIA 26-27'!E8</f>
        <v>ASCENDENTE</v>
      </c>
      <c r="G8" s="5" t="str">
        <f>'PRESIDENCIA 26-27'!F8</f>
        <v>PROGRAMA ANUAL DE CAPACITACIONES</v>
      </c>
      <c r="H8" s="6" t="e">
        <f>'PRESIDENCIA 26-27'!G8</f>
        <v>#REF!</v>
      </c>
      <c r="I8" s="5" t="e">
        <f>'PRESIDENCIA 26-27'!H8</f>
        <v>#REF!</v>
      </c>
      <c r="J8" s="5" t="e">
        <f>'PRESIDENCIA 26-27'!I8</f>
        <v>#REF!</v>
      </c>
      <c r="K8" s="5" t="e">
        <f>'PRESIDENCIA 26-27'!J8</f>
        <v>#REF!</v>
      </c>
      <c r="L8" s="5" t="e">
        <f>'PRESIDENCIA 26-27'!K8</f>
        <v>#REF!</v>
      </c>
      <c r="M8" s="5" t="e">
        <f>'PRESIDENCIA 26-27'!L8</f>
        <v>#REF!</v>
      </c>
      <c r="N8" s="5" t="e">
        <f>'PRESIDENCIA 26-27'!M8</f>
        <v>#REF!</v>
      </c>
      <c r="O8" s="5" t="e">
        <f>'PRESIDENCIA 26-27'!N8</f>
        <v>#REF!</v>
      </c>
      <c r="P8" s="5" t="e">
        <f>'PRESIDENCIA 26-27'!O8</f>
        <v>#REF!</v>
      </c>
      <c r="Q8" s="5" t="e">
        <f>'PRESIDENCIA 26-27'!P8</f>
        <v>#REF!</v>
      </c>
      <c r="R8" s="5" t="e">
        <f>'PRESIDENCIA 26-27'!Q8</f>
        <v>#REF!</v>
      </c>
      <c r="S8" s="5" t="e">
        <f>'PRESIDENCIA 26-27'!R8</f>
        <v>#REF!</v>
      </c>
      <c r="T8" s="5" t="e">
        <f>'PRESIDENCIA 26-27'!S8</f>
        <v>#REF!</v>
      </c>
      <c r="U8" s="5" t="e">
        <f>'PRESIDENCIA 26-27'!T8</f>
        <v>#REF!</v>
      </c>
    </row>
    <row r="9" spans="1:21" ht="39.75" customHeight="1">
      <c r="A9" s="30"/>
      <c r="B9" s="29" t="s">
        <v>32</v>
      </c>
      <c r="C9" s="4" t="s">
        <v>33</v>
      </c>
      <c r="D9" s="5">
        <f>'PRESIDENCIA 26-27'!C9</f>
        <v>520</v>
      </c>
      <c r="E9" s="5" t="str">
        <f>'PRESIDENCIA 26-27'!D9</f>
        <v>NÚM. DE NOTAS PUBLICADAS</v>
      </c>
      <c r="F9" s="5" t="str">
        <f>'PRESIDENCIA 26-27'!E9</f>
        <v>ASCENDENTE</v>
      </c>
      <c r="G9" s="5" t="str">
        <f>'PRESIDENCIA 26-27'!F9</f>
        <v>BITACORA OPERATIVA</v>
      </c>
      <c r="H9" s="6" t="e">
        <f>'PRESIDENCIA 26-27'!G9</f>
        <v>#REF!</v>
      </c>
      <c r="I9" s="5" t="e">
        <f>'PRESIDENCIA 26-27'!H9</f>
        <v>#REF!</v>
      </c>
      <c r="J9" s="5" t="e">
        <f>'PRESIDENCIA 26-27'!I9</f>
        <v>#REF!</v>
      </c>
      <c r="K9" s="5" t="e">
        <f>'PRESIDENCIA 26-27'!J9</f>
        <v>#REF!</v>
      </c>
      <c r="L9" s="5" t="e">
        <f>'PRESIDENCIA 26-27'!K9</f>
        <v>#REF!</v>
      </c>
      <c r="M9" s="5" t="e">
        <f>'PRESIDENCIA 26-27'!L9</f>
        <v>#REF!</v>
      </c>
      <c r="N9" s="5" t="e">
        <f>'PRESIDENCIA 26-27'!M9</f>
        <v>#REF!</v>
      </c>
      <c r="O9" s="5" t="e">
        <f>'PRESIDENCIA 26-27'!N9</f>
        <v>#REF!</v>
      </c>
      <c r="P9" s="5" t="e">
        <f>'PRESIDENCIA 26-27'!O9</f>
        <v>#REF!</v>
      </c>
      <c r="Q9" s="5" t="e">
        <f>'PRESIDENCIA 26-27'!P9</f>
        <v>#REF!</v>
      </c>
      <c r="R9" s="5" t="e">
        <f>'PRESIDENCIA 26-27'!Q9</f>
        <v>#REF!</v>
      </c>
      <c r="S9" s="5" t="e">
        <f>'PRESIDENCIA 26-27'!R9</f>
        <v>#REF!</v>
      </c>
      <c r="T9" s="5" t="e">
        <f>'PRESIDENCIA 26-27'!S9</f>
        <v>#REF!</v>
      </c>
      <c r="U9" s="5" t="e">
        <f>'PRESIDENCIA 26-27'!T9</f>
        <v>#REF!</v>
      </c>
    </row>
    <row r="10" spans="1:21" ht="39.75" customHeight="1">
      <c r="A10" s="30"/>
      <c r="B10" s="30"/>
      <c r="C10" s="4" t="s">
        <v>34</v>
      </c>
      <c r="D10" s="5">
        <f>'PRESIDENCIA 26-27'!C10</f>
        <v>500</v>
      </c>
      <c r="E10" s="5" t="str">
        <f>'PRESIDENCIA 26-27'!D10</f>
        <v>NÚM. DE DISEÑOS REALIZADOS</v>
      </c>
      <c r="F10" s="5" t="str">
        <f>'PRESIDENCIA 26-27'!E10</f>
        <v>ASCENDENTE</v>
      </c>
      <c r="G10" s="5" t="str">
        <f>'PRESIDENCIA 26-27'!F10</f>
        <v>BITACORA OPERATIVA</v>
      </c>
      <c r="H10" s="6" t="e">
        <f>'PRESIDENCIA 26-27'!G10</f>
        <v>#REF!</v>
      </c>
      <c r="I10" s="5" t="e">
        <f>'PRESIDENCIA 26-27'!H10</f>
        <v>#REF!</v>
      </c>
      <c r="J10" s="5" t="e">
        <f>'PRESIDENCIA 26-27'!I10</f>
        <v>#REF!</v>
      </c>
      <c r="K10" s="5" t="e">
        <f>'PRESIDENCIA 26-27'!J10</f>
        <v>#REF!</v>
      </c>
      <c r="L10" s="5" t="e">
        <f>'PRESIDENCIA 26-27'!K10</f>
        <v>#REF!</v>
      </c>
      <c r="M10" s="5" t="e">
        <f>'PRESIDENCIA 26-27'!L10</f>
        <v>#REF!</v>
      </c>
      <c r="N10" s="5" t="e">
        <f>'PRESIDENCIA 26-27'!M10</f>
        <v>#REF!</v>
      </c>
      <c r="O10" s="5" t="e">
        <f>'PRESIDENCIA 26-27'!N10</f>
        <v>#REF!</v>
      </c>
      <c r="P10" s="5" t="e">
        <f>'PRESIDENCIA 26-27'!O10</f>
        <v>#REF!</v>
      </c>
      <c r="Q10" s="5" t="e">
        <f>'PRESIDENCIA 26-27'!P10</f>
        <v>#REF!</v>
      </c>
      <c r="R10" s="5" t="e">
        <f>'PRESIDENCIA 26-27'!Q10</f>
        <v>#REF!</v>
      </c>
      <c r="S10" s="5" t="e">
        <f>'PRESIDENCIA 26-27'!R10</f>
        <v>#REF!</v>
      </c>
      <c r="T10" s="5" t="e">
        <f>'PRESIDENCIA 26-27'!S10</f>
        <v>#REF!</v>
      </c>
      <c r="U10" s="5" t="e">
        <f>'PRESIDENCIA 26-27'!T10</f>
        <v>#REF!</v>
      </c>
    </row>
    <row r="11" spans="1:21" ht="39.75" customHeight="1">
      <c r="A11" s="30"/>
      <c r="B11" s="31"/>
      <c r="C11" s="4" t="s">
        <v>35</v>
      </c>
      <c r="D11" s="5">
        <f>'PRESIDENCIA 26-27'!C11</f>
        <v>320</v>
      </c>
      <c r="E11" s="5" t="str">
        <f>'PRESIDENCIA 26-27'!D11</f>
        <v>NÚM. DE PUBLICCIONES</v>
      </c>
      <c r="F11" s="5" t="str">
        <f>'PRESIDENCIA 26-27'!E11</f>
        <v>ASCENDENTE</v>
      </c>
      <c r="G11" s="5" t="str">
        <f>'PRESIDENCIA 26-27'!F11</f>
        <v>BITACORA OPERATIVA</v>
      </c>
      <c r="H11" s="6" t="e">
        <f>'PRESIDENCIA 26-27'!G11</f>
        <v>#REF!</v>
      </c>
      <c r="I11" s="5" t="e">
        <f>'PRESIDENCIA 26-27'!H11</f>
        <v>#REF!</v>
      </c>
      <c r="J11" s="5" t="e">
        <f>'PRESIDENCIA 26-27'!I11</f>
        <v>#REF!</v>
      </c>
      <c r="K11" s="5" t="e">
        <f>'PRESIDENCIA 26-27'!J11</f>
        <v>#REF!</v>
      </c>
      <c r="L11" s="5" t="e">
        <f>'PRESIDENCIA 26-27'!K11</f>
        <v>#REF!</v>
      </c>
      <c r="M11" s="5" t="e">
        <f>'PRESIDENCIA 26-27'!L11</f>
        <v>#REF!</v>
      </c>
      <c r="N11" s="5" t="e">
        <f>'PRESIDENCIA 26-27'!M11</f>
        <v>#REF!</v>
      </c>
      <c r="O11" s="5" t="e">
        <f>'PRESIDENCIA 26-27'!N11</f>
        <v>#REF!</v>
      </c>
      <c r="P11" s="5" t="e">
        <f>'PRESIDENCIA 26-27'!O11</f>
        <v>#REF!</v>
      </c>
      <c r="Q11" s="5" t="e">
        <f>'PRESIDENCIA 26-27'!P11</f>
        <v>#REF!</v>
      </c>
      <c r="R11" s="5" t="e">
        <f>'PRESIDENCIA 26-27'!Q11</f>
        <v>#REF!</v>
      </c>
      <c r="S11" s="5" t="e">
        <f>'PRESIDENCIA 26-27'!R11</f>
        <v>#REF!</v>
      </c>
      <c r="T11" s="5" t="e">
        <f>'PRESIDENCIA 26-27'!S11</f>
        <v>#REF!</v>
      </c>
      <c r="U11" s="5" t="e">
        <f>'PRESIDENCIA 26-27'!T11</f>
        <v>#REF!</v>
      </c>
    </row>
    <row r="12" spans="1:21" ht="39.75" customHeight="1">
      <c r="A12" s="30"/>
      <c r="B12" s="29" t="s">
        <v>36</v>
      </c>
      <c r="C12" s="4" t="s">
        <v>37</v>
      </c>
      <c r="D12" s="5">
        <f>'PRESIDENCIA 26-27'!C12</f>
        <v>14</v>
      </c>
      <c r="E12" s="5" t="str">
        <f>'PRESIDENCIA 26-27'!D12</f>
        <v>NÚM. DE PROGRAMAS IMPLEMENTADOS</v>
      </c>
      <c r="F12" s="5" t="str">
        <f>'PRESIDENCIA 26-27'!E12</f>
        <v>ASCENDENTE</v>
      </c>
      <c r="G12" s="5" t="str">
        <f>'PRESIDENCIA 26-27'!F12</f>
        <v>PADRON UNICO DE BENEFICIADOS</v>
      </c>
      <c r="H12" s="6" t="e">
        <f>'PRESIDENCIA 26-27'!G12</f>
        <v>#REF!</v>
      </c>
      <c r="I12" s="5" t="e">
        <f>'PRESIDENCIA 26-27'!H12</f>
        <v>#REF!</v>
      </c>
      <c r="J12" s="5" t="e">
        <f>'PRESIDENCIA 26-27'!I12</f>
        <v>#REF!</v>
      </c>
      <c r="K12" s="5" t="e">
        <f>'PRESIDENCIA 26-27'!J12</f>
        <v>#REF!</v>
      </c>
      <c r="L12" s="5" t="e">
        <f>'PRESIDENCIA 26-27'!K12</f>
        <v>#REF!</v>
      </c>
      <c r="M12" s="5" t="e">
        <f>'PRESIDENCIA 26-27'!L12</f>
        <v>#REF!</v>
      </c>
      <c r="N12" s="5" t="e">
        <f>'PRESIDENCIA 26-27'!M12</f>
        <v>#REF!</v>
      </c>
      <c r="O12" s="5" t="e">
        <f>'PRESIDENCIA 26-27'!N12</f>
        <v>#REF!</v>
      </c>
      <c r="P12" s="5" t="e">
        <f>'PRESIDENCIA 26-27'!O12</f>
        <v>#REF!</v>
      </c>
      <c r="Q12" s="5" t="e">
        <f>'PRESIDENCIA 26-27'!P12</f>
        <v>#REF!</v>
      </c>
      <c r="R12" s="5" t="e">
        <f>'PRESIDENCIA 26-27'!Q12</f>
        <v>#REF!</v>
      </c>
      <c r="S12" s="5" t="e">
        <f>'PRESIDENCIA 26-27'!R12</f>
        <v>#REF!</v>
      </c>
      <c r="T12" s="5" t="e">
        <f>'PRESIDENCIA 26-27'!S12</f>
        <v>#REF!</v>
      </c>
      <c r="U12" s="5" t="e">
        <f>'PRESIDENCIA 26-27'!T12</f>
        <v>#REF!</v>
      </c>
    </row>
    <row r="13" spans="1:21" ht="39.75" customHeight="1">
      <c r="A13" s="31"/>
      <c r="B13" s="31"/>
      <c r="C13" s="4" t="s">
        <v>38</v>
      </c>
      <c r="D13" s="5">
        <f>'PRESIDENCIA 26-27'!C13</f>
        <v>66</v>
      </c>
      <c r="E13" s="5" t="str">
        <f>'PRESIDENCIA 26-27'!D13</f>
        <v>NUM. PERSONAS</v>
      </c>
      <c r="F13" s="5" t="str">
        <f>'PRESIDENCIA 26-27'!E13</f>
        <v>ASCENDENTE</v>
      </c>
      <c r="G13" s="5" t="str">
        <f>'PRESIDENCIA 26-27'!F13</f>
        <v>PADRON UNICO DE BENEFICIADOS</v>
      </c>
      <c r="H13" s="6" t="e">
        <f>'PRESIDENCIA 26-27'!G13</f>
        <v>#REF!</v>
      </c>
      <c r="I13" s="5" t="e">
        <f>'PRESIDENCIA 26-27'!H13</f>
        <v>#REF!</v>
      </c>
      <c r="J13" s="5" t="e">
        <f>'PRESIDENCIA 26-27'!I13</f>
        <v>#REF!</v>
      </c>
      <c r="K13" s="5" t="e">
        <f>'PRESIDENCIA 26-27'!J13</f>
        <v>#REF!</v>
      </c>
      <c r="L13" s="5" t="e">
        <f>'PRESIDENCIA 26-27'!K13</f>
        <v>#REF!</v>
      </c>
      <c r="M13" s="5" t="e">
        <f>'PRESIDENCIA 26-27'!L13</f>
        <v>#REF!</v>
      </c>
      <c r="N13" s="5" t="e">
        <f>'PRESIDENCIA 26-27'!M13</f>
        <v>#REF!</v>
      </c>
      <c r="O13" s="5" t="e">
        <f>'PRESIDENCIA 26-27'!N13</f>
        <v>#REF!</v>
      </c>
      <c r="P13" s="5" t="e">
        <f>'PRESIDENCIA 26-27'!O13</f>
        <v>#REF!</v>
      </c>
      <c r="Q13" s="5" t="e">
        <f>'PRESIDENCIA 26-27'!P13</f>
        <v>#REF!</v>
      </c>
      <c r="R13" s="5" t="e">
        <f>'PRESIDENCIA 26-27'!Q13</f>
        <v>#REF!</v>
      </c>
      <c r="S13" s="5" t="e">
        <f>'PRESIDENCIA 26-27'!R13</f>
        <v>#REF!</v>
      </c>
      <c r="T13" s="5" t="e">
        <f>'PRESIDENCIA 26-27'!S13</f>
        <v>#REF!</v>
      </c>
      <c r="U13" s="5" t="e">
        <f>'PRESIDENCIA 26-27'!T13</f>
        <v>#REF!</v>
      </c>
    </row>
    <row r="14" spans="1:21" ht="39.75" customHeight="1">
      <c r="A14" s="32" t="s">
        <v>39</v>
      </c>
      <c r="B14" s="12" t="s">
        <v>40</v>
      </c>
      <c r="C14" s="5" t="s">
        <v>37</v>
      </c>
      <c r="D14" s="5">
        <f ca="1">'1RA SEGURIDAD PUBLICA'!B2</f>
        <v>1</v>
      </c>
      <c r="E14" s="5">
        <f>'1RA SEGURIDAD PUBLICA'!C2</f>
        <v>0</v>
      </c>
      <c r="F14" s="5" t="str">
        <f ca="1">'1RA SEGURIDAD PUBLICA'!D2</f>
        <v>ASCENDENTE</v>
      </c>
      <c r="G14" s="5" t="str">
        <f ca="1">'1RA SEGURIDAD PUBLICA'!E2</f>
        <v>SESIONES PUBLICAS</v>
      </c>
      <c r="H14" s="5">
        <f ca="1">'1RA SEGURIDAD PUBLICA'!F2</f>
        <v>0</v>
      </c>
      <c r="I14" s="5">
        <f ca="1">'1RA SEGURIDAD PUBLICA'!G2</f>
        <v>0</v>
      </c>
      <c r="J14" s="5">
        <f ca="1">'1RA SEGURIDAD PUBLICA'!H2</f>
        <v>0</v>
      </c>
      <c r="K14" s="5">
        <f ca="1">'1RA SEGURIDAD PUBLICA'!I2</f>
        <v>0</v>
      </c>
      <c r="L14" s="5">
        <f ca="1">'1RA SEGURIDAD PUBLICA'!J2</f>
        <v>0</v>
      </c>
      <c r="M14" s="5">
        <f ca="1">'1RA SEGURIDAD PUBLICA'!K2</f>
        <v>0</v>
      </c>
      <c r="N14" s="5">
        <f ca="1">'1RA SEGURIDAD PUBLICA'!L2</f>
        <v>0</v>
      </c>
      <c r="O14" s="5">
        <f ca="1">'1RA SEGURIDAD PUBLICA'!M2</f>
        <v>0</v>
      </c>
      <c r="P14" s="5">
        <f ca="1">'1RA SEGURIDAD PUBLICA'!N2</f>
        <v>0</v>
      </c>
      <c r="Q14" s="5">
        <f ca="1">'1RA SEGURIDAD PUBLICA'!O2</f>
        <v>0</v>
      </c>
      <c r="R14" s="5">
        <f ca="1">'1RA SEGURIDAD PUBLICA'!P2</f>
        <v>0</v>
      </c>
      <c r="S14" s="5">
        <f ca="1">'1RA SEGURIDAD PUBLICA'!Q2</f>
        <v>0</v>
      </c>
      <c r="T14" s="5">
        <f ca="1">'1RA SEGURIDAD PUBLICA'!R2</f>
        <v>0</v>
      </c>
      <c r="U14" s="5">
        <f ca="1">'1RA SEGURIDAD PUBLICA'!S2</f>
        <v>0</v>
      </c>
    </row>
    <row r="15" spans="1:21" ht="39.75" customHeight="1">
      <c r="A15" s="30"/>
      <c r="B15" s="12"/>
      <c r="C15" s="5" t="s">
        <v>38</v>
      </c>
      <c r="D15" s="5">
        <f ca="1">'1RA SEGURIDAD PUBLICA'!B3</f>
        <v>1</v>
      </c>
      <c r="E15" s="5">
        <f>'1RA SEGURIDAD PUBLICA'!C3</f>
        <v>0</v>
      </c>
      <c r="F15" s="5" t="str">
        <f ca="1">'1RA SEGURIDAD PUBLICA'!D3</f>
        <v>ASCENDENTE</v>
      </c>
      <c r="G15" s="5" t="str">
        <f ca="1">'1RA SEGURIDAD PUBLICA'!E3</f>
        <v>BITACORA DE ATENCION</v>
      </c>
      <c r="H15" s="5">
        <f ca="1">'1RA SEGURIDAD PUBLICA'!F3</f>
        <v>0</v>
      </c>
      <c r="I15" s="5">
        <f ca="1">'1RA SEGURIDAD PUBLICA'!G3</f>
        <v>0</v>
      </c>
      <c r="J15" s="5">
        <f ca="1">'1RA SEGURIDAD PUBLICA'!H3</f>
        <v>0</v>
      </c>
      <c r="K15" s="5">
        <f ca="1">'1RA SEGURIDAD PUBLICA'!I3</f>
        <v>0</v>
      </c>
      <c r="L15" s="5">
        <f ca="1">'1RA SEGURIDAD PUBLICA'!J3</f>
        <v>0</v>
      </c>
      <c r="M15" s="5">
        <f ca="1">'1RA SEGURIDAD PUBLICA'!K3</f>
        <v>0</v>
      </c>
      <c r="N15" s="5">
        <f ca="1">'1RA SEGURIDAD PUBLICA'!L3</f>
        <v>0</v>
      </c>
      <c r="O15" s="5">
        <f ca="1">'1RA SEGURIDAD PUBLICA'!M3</f>
        <v>0</v>
      </c>
      <c r="P15" s="5">
        <f ca="1">'1RA SEGURIDAD PUBLICA'!N3</f>
        <v>0</v>
      </c>
      <c r="Q15" s="5">
        <f ca="1">'1RA SEGURIDAD PUBLICA'!O3</f>
        <v>0</v>
      </c>
      <c r="R15" s="5">
        <f ca="1">'1RA SEGURIDAD PUBLICA'!P3</f>
        <v>0</v>
      </c>
      <c r="S15" s="5">
        <f ca="1">'1RA SEGURIDAD PUBLICA'!Q3</f>
        <v>0</v>
      </c>
      <c r="T15" s="5">
        <f ca="1">'1RA SEGURIDAD PUBLICA'!R3</f>
        <v>0</v>
      </c>
      <c r="U15" s="5">
        <f ca="1">'1RA SEGURIDAD PUBLICA'!S3</f>
        <v>0</v>
      </c>
    </row>
    <row r="16" spans="1:21" ht="39.75" customHeight="1">
      <c r="A16" s="30"/>
      <c r="B16" s="12" t="s">
        <v>41</v>
      </c>
      <c r="C16" s="5" t="s">
        <v>42</v>
      </c>
      <c r="D16" s="5">
        <f ca="1">'1RA SEGURIDAD PUBLICA'!B4</f>
        <v>1</v>
      </c>
      <c r="E16" s="5">
        <f>'1RA SEGURIDAD PUBLICA'!C4</f>
        <v>0</v>
      </c>
      <c r="F16" s="5" t="str">
        <f ca="1">'1RA SEGURIDAD PUBLICA'!D4</f>
        <v>ASCENDENTE</v>
      </c>
      <c r="G16" s="5" t="str">
        <f ca="1">'1RA SEGURIDAD PUBLICA'!E4</f>
        <v>BITACORA DE ATENCION</v>
      </c>
      <c r="H16" s="5">
        <f ca="1">'1RA SEGURIDAD PUBLICA'!F4</f>
        <v>0</v>
      </c>
      <c r="I16" s="5">
        <f ca="1">'1RA SEGURIDAD PUBLICA'!G4</f>
        <v>0</v>
      </c>
      <c r="J16" s="5">
        <f ca="1">'1RA SEGURIDAD PUBLICA'!H4</f>
        <v>0</v>
      </c>
      <c r="K16" s="5">
        <f ca="1">'1RA SEGURIDAD PUBLICA'!I4</f>
        <v>0</v>
      </c>
      <c r="L16" s="5">
        <f ca="1">'1RA SEGURIDAD PUBLICA'!J4</f>
        <v>0</v>
      </c>
      <c r="M16" s="5">
        <f ca="1">'1RA SEGURIDAD PUBLICA'!K4</f>
        <v>0</v>
      </c>
      <c r="N16" s="5">
        <f ca="1">'1RA SEGURIDAD PUBLICA'!L4</f>
        <v>0</v>
      </c>
      <c r="O16" s="5">
        <f ca="1">'1RA SEGURIDAD PUBLICA'!M4</f>
        <v>0</v>
      </c>
      <c r="P16" s="5">
        <f ca="1">'1RA SEGURIDAD PUBLICA'!N4</f>
        <v>0</v>
      </c>
      <c r="Q16" s="5">
        <f ca="1">'1RA SEGURIDAD PUBLICA'!O4</f>
        <v>0</v>
      </c>
      <c r="R16" s="5">
        <f ca="1">'1RA SEGURIDAD PUBLICA'!P4</f>
        <v>0</v>
      </c>
      <c r="S16" s="5">
        <f ca="1">'1RA SEGURIDAD PUBLICA'!Q4</f>
        <v>0</v>
      </c>
      <c r="T16" s="5">
        <f ca="1">'1RA SEGURIDAD PUBLICA'!R4</f>
        <v>0</v>
      </c>
      <c r="U16" s="5">
        <f ca="1">'1RA SEGURIDAD PUBLICA'!S4</f>
        <v>0</v>
      </c>
    </row>
    <row r="17" spans="1:21" ht="39.75" customHeight="1">
      <c r="A17" s="30"/>
      <c r="B17" s="32" t="s">
        <v>43</v>
      </c>
      <c r="C17" s="5" t="s">
        <v>44</v>
      </c>
      <c r="D17" s="5">
        <f ca="1">'1RA SEGURIDAD PUBLICA'!B5</f>
        <v>1</v>
      </c>
      <c r="E17" s="5">
        <f>'1RA SEGURIDAD PUBLICA'!C5</f>
        <v>0</v>
      </c>
      <c r="F17" s="5" t="str">
        <f ca="1">'1RA SEGURIDAD PUBLICA'!D5</f>
        <v>ASCENDENTE</v>
      </c>
      <c r="G17" s="5" t="str">
        <f ca="1">'1RA SEGURIDAD PUBLICA'!E5</f>
        <v>BITACORA OPERATIVA</v>
      </c>
      <c r="H17" s="5">
        <f ca="1">'1RA SEGURIDAD PUBLICA'!F5</f>
        <v>0</v>
      </c>
      <c r="I17" s="5">
        <f ca="1">'1RA SEGURIDAD PUBLICA'!G5</f>
        <v>0</v>
      </c>
      <c r="J17" s="5">
        <f ca="1">'1RA SEGURIDAD PUBLICA'!H5</f>
        <v>0</v>
      </c>
      <c r="K17" s="5">
        <f ca="1">'1RA SEGURIDAD PUBLICA'!I5</f>
        <v>0</v>
      </c>
      <c r="L17" s="5">
        <f ca="1">'1RA SEGURIDAD PUBLICA'!J5</f>
        <v>0</v>
      </c>
      <c r="M17" s="5">
        <f ca="1">'1RA SEGURIDAD PUBLICA'!K5</f>
        <v>0</v>
      </c>
      <c r="N17" s="5">
        <f ca="1">'1RA SEGURIDAD PUBLICA'!L5</f>
        <v>0</v>
      </c>
      <c r="O17" s="5">
        <f ca="1">'1RA SEGURIDAD PUBLICA'!M5</f>
        <v>0</v>
      </c>
      <c r="P17" s="5">
        <f ca="1">'1RA SEGURIDAD PUBLICA'!N5</f>
        <v>0</v>
      </c>
      <c r="Q17" s="5">
        <f ca="1">'1RA SEGURIDAD PUBLICA'!O5</f>
        <v>0</v>
      </c>
      <c r="R17" s="5">
        <f ca="1">'1RA SEGURIDAD PUBLICA'!P5</f>
        <v>0</v>
      </c>
      <c r="S17" s="5">
        <f ca="1">'1RA SEGURIDAD PUBLICA'!Q5</f>
        <v>0</v>
      </c>
      <c r="T17" s="5">
        <f ca="1">'1RA SEGURIDAD PUBLICA'!R5</f>
        <v>0</v>
      </c>
      <c r="U17" s="5">
        <f ca="1">'1RA SEGURIDAD PUBLICA'!S5</f>
        <v>0</v>
      </c>
    </row>
    <row r="18" spans="1:21" ht="39.75" customHeight="1">
      <c r="A18" s="30"/>
      <c r="B18" s="31"/>
      <c r="C18" s="5" t="s">
        <v>45</v>
      </c>
      <c r="D18" s="5">
        <f ca="1">'1RA SEGURIDAD PUBLICA'!B6</f>
        <v>1</v>
      </c>
      <c r="E18" s="5">
        <f>'1RA SEGURIDAD PUBLICA'!C6</f>
        <v>0</v>
      </c>
      <c r="F18" s="5" t="str">
        <f ca="1">'1RA SEGURIDAD PUBLICA'!D6</f>
        <v>ASCENDENTE</v>
      </c>
      <c r="G18" s="5" t="str">
        <f ca="1">'1RA SEGURIDAD PUBLICA'!E6</f>
        <v>BITACORA OPERATIVA</v>
      </c>
      <c r="H18" s="5">
        <f ca="1">'1RA SEGURIDAD PUBLICA'!F6</f>
        <v>0</v>
      </c>
      <c r="I18" s="5">
        <f ca="1">'1RA SEGURIDAD PUBLICA'!G6</f>
        <v>0</v>
      </c>
      <c r="J18" s="5">
        <f ca="1">'1RA SEGURIDAD PUBLICA'!H6</f>
        <v>0</v>
      </c>
      <c r="K18" s="5">
        <f ca="1">'1RA SEGURIDAD PUBLICA'!I6</f>
        <v>0</v>
      </c>
      <c r="L18" s="5">
        <f ca="1">'1RA SEGURIDAD PUBLICA'!J6</f>
        <v>0</v>
      </c>
      <c r="M18" s="5">
        <f ca="1">'1RA SEGURIDAD PUBLICA'!K6</f>
        <v>0</v>
      </c>
      <c r="N18" s="5">
        <f ca="1">'1RA SEGURIDAD PUBLICA'!L6</f>
        <v>0</v>
      </c>
      <c r="O18" s="5">
        <f ca="1">'1RA SEGURIDAD PUBLICA'!M6</f>
        <v>0</v>
      </c>
      <c r="P18" s="5">
        <f ca="1">'1RA SEGURIDAD PUBLICA'!N6</f>
        <v>0</v>
      </c>
      <c r="Q18" s="5">
        <f ca="1">'1RA SEGURIDAD PUBLICA'!O6</f>
        <v>0</v>
      </c>
      <c r="R18" s="5">
        <f ca="1">'1RA SEGURIDAD PUBLICA'!P6</f>
        <v>0</v>
      </c>
      <c r="S18" s="5">
        <f ca="1">'1RA SEGURIDAD PUBLICA'!Q6</f>
        <v>0</v>
      </c>
      <c r="T18" s="5">
        <f ca="1">'1RA SEGURIDAD PUBLICA'!R6</f>
        <v>0</v>
      </c>
      <c r="U18" s="5">
        <f ca="1">'1RA SEGURIDAD PUBLICA'!S6</f>
        <v>0</v>
      </c>
    </row>
    <row r="19" spans="1:21" ht="39.75" customHeight="1">
      <c r="A19" s="30"/>
      <c r="B19" s="32" t="s">
        <v>46</v>
      </c>
      <c r="C19" s="5" t="s">
        <v>47</v>
      </c>
      <c r="D19" s="5">
        <f ca="1">'1RA SEGURIDAD PUBLICA'!B7</f>
        <v>1</v>
      </c>
      <c r="E19" s="5">
        <f>'1RA SEGURIDAD PUBLICA'!C7</f>
        <v>0</v>
      </c>
      <c r="F19" s="5" t="str">
        <f ca="1">'1RA SEGURIDAD PUBLICA'!D7</f>
        <v>ASCENDENTE</v>
      </c>
      <c r="G19" s="5" t="str">
        <f ca="1">'1RA SEGURIDAD PUBLICA'!E7</f>
        <v>BITACORA OPERATIVA</v>
      </c>
      <c r="H19" s="5">
        <f ca="1">'1RA SEGURIDAD PUBLICA'!F7</f>
        <v>0</v>
      </c>
      <c r="I19" s="5">
        <f ca="1">'1RA SEGURIDAD PUBLICA'!G7</f>
        <v>0</v>
      </c>
      <c r="J19" s="5">
        <f ca="1">'1RA SEGURIDAD PUBLICA'!H7</f>
        <v>0</v>
      </c>
      <c r="K19" s="5">
        <f ca="1">'1RA SEGURIDAD PUBLICA'!I7</f>
        <v>0</v>
      </c>
      <c r="L19" s="5">
        <f ca="1">'1RA SEGURIDAD PUBLICA'!J7</f>
        <v>0</v>
      </c>
      <c r="M19" s="5">
        <f ca="1">'1RA SEGURIDAD PUBLICA'!K7</f>
        <v>0</v>
      </c>
      <c r="N19" s="5">
        <f ca="1">'1RA SEGURIDAD PUBLICA'!L7</f>
        <v>0</v>
      </c>
      <c r="O19" s="5">
        <f ca="1">'1RA SEGURIDAD PUBLICA'!M7</f>
        <v>0</v>
      </c>
      <c r="P19" s="5">
        <f ca="1">'1RA SEGURIDAD PUBLICA'!N7</f>
        <v>0</v>
      </c>
      <c r="Q19" s="5">
        <f ca="1">'1RA SEGURIDAD PUBLICA'!O7</f>
        <v>0</v>
      </c>
      <c r="R19" s="5">
        <f ca="1">'1RA SEGURIDAD PUBLICA'!P7</f>
        <v>0</v>
      </c>
      <c r="S19" s="5">
        <f ca="1">'1RA SEGURIDAD PUBLICA'!Q7</f>
        <v>0</v>
      </c>
      <c r="T19" s="5">
        <f ca="1">'1RA SEGURIDAD PUBLICA'!R7</f>
        <v>0</v>
      </c>
      <c r="U19" s="5">
        <f ca="1">'1RA SEGURIDAD PUBLICA'!S7</f>
        <v>0</v>
      </c>
    </row>
    <row r="20" spans="1:21" ht="39.75" customHeight="1">
      <c r="A20" s="30"/>
      <c r="B20" s="30"/>
      <c r="C20" s="5" t="s">
        <v>48</v>
      </c>
      <c r="D20" s="5">
        <f ca="1">'1RA SEGURIDAD PUBLICA'!B8</f>
        <v>1</v>
      </c>
      <c r="E20" s="5">
        <f>'1RA SEGURIDAD PUBLICA'!C8</f>
        <v>0</v>
      </c>
      <c r="F20" s="5" t="str">
        <f ca="1">'1RA SEGURIDAD PUBLICA'!D8</f>
        <v>ASCENDENTE</v>
      </c>
      <c r="G20" s="5" t="str">
        <f ca="1">'1RA SEGURIDAD PUBLICA'!E8</f>
        <v>BITACORA OPERATIVA</v>
      </c>
      <c r="H20" s="5">
        <f ca="1">'1RA SEGURIDAD PUBLICA'!F8</f>
        <v>0</v>
      </c>
      <c r="I20" s="5">
        <f ca="1">'1RA SEGURIDAD PUBLICA'!G8</f>
        <v>0</v>
      </c>
      <c r="J20" s="5">
        <f ca="1">'1RA SEGURIDAD PUBLICA'!H8</f>
        <v>0</v>
      </c>
      <c r="K20" s="5">
        <f ca="1">'1RA SEGURIDAD PUBLICA'!I8</f>
        <v>0</v>
      </c>
      <c r="L20" s="5">
        <f ca="1">'1RA SEGURIDAD PUBLICA'!J8</f>
        <v>0</v>
      </c>
      <c r="M20" s="5">
        <f ca="1">'1RA SEGURIDAD PUBLICA'!K8</f>
        <v>0</v>
      </c>
      <c r="N20" s="5">
        <f ca="1">'1RA SEGURIDAD PUBLICA'!L8</f>
        <v>0</v>
      </c>
      <c r="O20" s="5">
        <f ca="1">'1RA SEGURIDAD PUBLICA'!M8</f>
        <v>0</v>
      </c>
      <c r="P20" s="5">
        <f ca="1">'1RA SEGURIDAD PUBLICA'!N8</f>
        <v>0</v>
      </c>
      <c r="Q20" s="5">
        <f ca="1">'1RA SEGURIDAD PUBLICA'!O8</f>
        <v>0</v>
      </c>
      <c r="R20" s="5">
        <f ca="1">'1RA SEGURIDAD PUBLICA'!P8</f>
        <v>0</v>
      </c>
      <c r="S20" s="5">
        <f ca="1">'1RA SEGURIDAD PUBLICA'!Q8</f>
        <v>0</v>
      </c>
      <c r="T20" s="5">
        <f ca="1">'1RA SEGURIDAD PUBLICA'!R8</f>
        <v>0</v>
      </c>
      <c r="U20" s="5">
        <f ca="1">'1RA SEGURIDAD PUBLICA'!S8</f>
        <v>0</v>
      </c>
    </row>
    <row r="21" spans="1:21" ht="39.75" customHeight="1">
      <c r="A21" s="31"/>
      <c r="B21" s="31"/>
      <c r="C21" s="5" t="s">
        <v>49</v>
      </c>
      <c r="D21" s="5">
        <f ca="1">'1RA SEGURIDAD PUBLICA'!B9</f>
        <v>1</v>
      </c>
      <c r="E21" s="5">
        <f>'1RA SEGURIDAD PUBLICA'!C9</f>
        <v>0</v>
      </c>
      <c r="F21" s="5" t="str">
        <f ca="1">'1RA SEGURIDAD PUBLICA'!D9</f>
        <v>ASCENDENTE</v>
      </c>
      <c r="G21" s="5" t="str">
        <f ca="1">'1RA SEGURIDAD PUBLICA'!E9</f>
        <v>BITACORA OPERATIVA</v>
      </c>
      <c r="H21" s="5">
        <f ca="1">'1RA SEGURIDAD PUBLICA'!F9</f>
        <v>0</v>
      </c>
      <c r="I21" s="5">
        <f ca="1">'1RA SEGURIDAD PUBLICA'!G9</f>
        <v>0</v>
      </c>
      <c r="J21" s="5">
        <f ca="1">'1RA SEGURIDAD PUBLICA'!H9</f>
        <v>0</v>
      </c>
      <c r="K21" s="5">
        <f ca="1">'1RA SEGURIDAD PUBLICA'!I9</f>
        <v>0</v>
      </c>
      <c r="L21" s="5">
        <f ca="1">'1RA SEGURIDAD PUBLICA'!J9</f>
        <v>0</v>
      </c>
      <c r="M21" s="5">
        <f ca="1">'1RA SEGURIDAD PUBLICA'!K9</f>
        <v>0</v>
      </c>
      <c r="N21" s="5">
        <f ca="1">'1RA SEGURIDAD PUBLICA'!L9</f>
        <v>0</v>
      </c>
      <c r="O21" s="5">
        <f ca="1">'1RA SEGURIDAD PUBLICA'!M9</f>
        <v>0</v>
      </c>
      <c r="P21" s="5">
        <f ca="1">'1RA SEGURIDAD PUBLICA'!N9</f>
        <v>0</v>
      </c>
      <c r="Q21" s="5">
        <f ca="1">'1RA SEGURIDAD PUBLICA'!O9</f>
        <v>0</v>
      </c>
      <c r="R21" s="5">
        <f ca="1">'1RA SEGURIDAD PUBLICA'!P9</f>
        <v>0</v>
      </c>
      <c r="S21" s="5">
        <f ca="1">'1RA SEGURIDAD PUBLICA'!Q9</f>
        <v>0</v>
      </c>
      <c r="T21" s="5">
        <f ca="1">'1RA SEGURIDAD PUBLICA'!R9</f>
        <v>0</v>
      </c>
      <c r="U21" s="5">
        <f ca="1">'1RA SEGURIDAD PUBLICA'!S9</f>
        <v>0</v>
      </c>
    </row>
    <row r="22" spans="1:21" ht="39.75" customHeight="1">
      <c r="A22" s="32" t="s">
        <v>50</v>
      </c>
      <c r="B22" s="32" t="s">
        <v>50</v>
      </c>
      <c r="C22" s="5" t="s">
        <v>51</v>
      </c>
      <c r="D22" s="5">
        <f ca="1">'1RA SEGURIDAD PUBLICA'!B10</f>
        <v>1</v>
      </c>
      <c r="E22" s="5">
        <f>'1RA SEGURIDAD PUBLICA'!C10</f>
        <v>0</v>
      </c>
      <c r="F22" s="5" t="str">
        <f ca="1">'1RA SEGURIDAD PUBLICA'!D10</f>
        <v>ASCENDENTE</v>
      </c>
      <c r="G22" s="5" t="str">
        <f ca="1">'1RA SEGURIDAD PUBLICA'!E10</f>
        <v>BITACORA OPERATIVA</v>
      </c>
      <c r="H22" s="5">
        <f ca="1">'1RA SEGURIDAD PUBLICA'!F10</f>
        <v>0</v>
      </c>
      <c r="I22" s="5">
        <f ca="1">'1RA SEGURIDAD PUBLICA'!G10</f>
        <v>0</v>
      </c>
      <c r="J22" s="5">
        <f ca="1">'1RA SEGURIDAD PUBLICA'!H10</f>
        <v>0</v>
      </c>
      <c r="K22" s="5">
        <f ca="1">'1RA SEGURIDAD PUBLICA'!I10</f>
        <v>0</v>
      </c>
      <c r="L22" s="5">
        <f ca="1">'1RA SEGURIDAD PUBLICA'!J10</f>
        <v>0</v>
      </c>
      <c r="M22" s="5">
        <f ca="1">'1RA SEGURIDAD PUBLICA'!K10</f>
        <v>0</v>
      </c>
      <c r="N22" s="5">
        <f ca="1">'1RA SEGURIDAD PUBLICA'!L10</f>
        <v>0</v>
      </c>
      <c r="O22" s="5">
        <f ca="1">'1RA SEGURIDAD PUBLICA'!M10</f>
        <v>0</v>
      </c>
      <c r="P22" s="5">
        <f ca="1">'1RA SEGURIDAD PUBLICA'!N10</f>
        <v>0</v>
      </c>
      <c r="Q22" s="5">
        <f ca="1">'1RA SEGURIDAD PUBLICA'!O10</f>
        <v>0</v>
      </c>
      <c r="R22" s="5">
        <f ca="1">'1RA SEGURIDAD PUBLICA'!P10</f>
        <v>0</v>
      </c>
      <c r="S22" s="5">
        <f ca="1">'1RA SEGURIDAD PUBLICA'!Q10</f>
        <v>0</v>
      </c>
      <c r="T22" s="5">
        <f ca="1">'1RA SEGURIDAD PUBLICA'!R10</f>
        <v>0</v>
      </c>
      <c r="U22" s="5">
        <f ca="1">'1RA SEGURIDAD PUBLICA'!S10</f>
        <v>0</v>
      </c>
    </row>
    <row r="23" spans="1:21" ht="39.75" customHeight="1">
      <c r="A23" s="30"/>
      <c r="B23" s="30"/>
      <c r="C23" s="5" t="s">
        <v>52</v>
      </c>
      <c r="D23" s="5">
        <f ca="1">'1RA SEGURIDAD PUBLICA'!B11</f>
        <v>1</v>
      </c>
      <c r="E23" s="5">
        <f>'1RA SEGURIDAD PUBLICA'!C11</f>
        <v>0</v>
      </c>
      <c r="F23" s="5" t="str">
        <f ca="1">'1RA SEGURIDAD PUBLICA'!D11</f>
        <v>ASCENDENTE</v>
      </c>
      <c r="G23" s="5" t="str">
        <f ca="1">'1RA SEGURIDAD PUBLICA'!E11</f>
        <v>BITACORA OPERATIVA</v>
      </c>
      <c r="H23" s="5">
        <f ca="1">'1RA SEGURIDAD PUBLICA'!F11</f>
        <v>0</v>
      </c>
      <c r="I23" s="5">
        <f ca="1">'1RA SEGURIDAD PUBLICA'!G11</f>
        <v>0</v>
      </c>
      <c r="J23" s="5">
        <f ca="1">'1RA SEGURIDAD PUBLICA'!H11</f>
        <v>0</v>
      </c>
      <c r="K23" s="5">
        <f ca="1">'1RA SEGURIDAD PUBLICA'!I11</f>
        <v>0</v>
      </c>
      <c r="L23" s="5">
        <f ca="1">'1RA SEGURIDAD PUBLICA'!J11</f>
        <v>0</v>
      </c>
      <c r="M23" s="5">
        <f ca="1">'1RA SEGURIDAD PUBLICA'!K11</f>
        <v>0</v>
      </c>
      <c r="N23" s="5">
        <f ca="1">'1RA SEGURIDAD PUBLICA'!L11</f>
        <v>0</v>
      </c>
      <c r="O23" s="5">
        <f ca="1">'1RA SEGURIDAD PUBLICA'!M11</f>
        <v>0</v>
      </c>
      <c r="P23" s="5">
        <f ca="1">'1RA SEGURIDAD PUBLICA'!N11</f>
        <v>0</v>
      </c>
      <c r="Q23" s="5">
        <f ca="1">'1RA SEGURIDAD PUBLICA'!O11</f>
        <v>0</v>
      </c>
      <c r="R23" s="5">
        <f ca="1">'1RA SEGURIDAD PUBLICA'!P11</f>
        <v>0</v>
      </c>
      <c r="S23" s="5">
        <f ca="1">'1RA SEGURIDAD PUBLICA'!Q11</f>
        <v>0</v>
      </c>
      <c r="T23" s="5">
        <f ca="1">'1RA SEGURIDAD PUBLICA'!R11</f>
        <v>0</v>
      </c>
      <c r="U23" s="5">
        <f ca="1">'1RA SEGURIDAD PUBLICA'!S11</f>
        <v>0</v>
      </c>
    </row>
    <row r="24" spans="1:21" ht="39.75" customHeight="1">
      <c r="A24" s="30"/>
      <c r="B24" s="31"/>
      <c r="C24" s="5" t="s">
        <v>53</v>
      </c>
      <c r="D24" s="5">
        <f ca="1">'1RA SEGURIDAD PUBLICA'!B12</f>
        <v>1</v>
      </c>
      <c r="E24" s="5">
        <f>'1RA SEGURIDAD PUBLICA'!C12</f>
        <v>0</v>
      </c>
      <c r="F24" s="5" t="str">
        <f ca="1">'1RA SEGURIDAD PUBLICA'!D12</f>
        <v>ASCENDENTE</v>
      </c>
      <c r="G24" s="5" t="str">
        <f ca="1">'1RA SEGURIDAD PUBLICA'!E12</f>
        <v>BITACORA OPERATIVA</v>
      </c>
      <c r="H24" s="5">
        <f ca="1">'1RA SEGURIDAD PUBLICA'!F12</f>
        <v>0</v>
      </c>
      <c r="I24" s="5">
        <f ca="1">'1RA SEGURIDAD PUBLICA'!G12</f>
        <v>0</v>
      </c>
      <c r="J24" s="5">
        <f ca="1">'1RA SEGURIDAD PUBLICA'!H12</f>
        <v>0</v>
      </c>
      <c r="K24" s="5">
        <f ca="1">'1RA SEGURIDAD PUBLICA'!I12</f>
        <v>0</v>
      </c>
      <c r="L24" s="5">
        <f ca="1">'1RA SEGURIDAD PUBLICA'!J12</f>
        <v>0</v>
      </c>
      <c r="M24" s="5">
        <f ca="1">'1RA SEGURIDAD PUBLICA'!K12</f>
        <v>0</v>
      </c>
      <c r="N24" s="5">
        <f ca="1">'1RA SEGURIDAD PUBLICA'!L12</f>
        <v>0</v>
      </c>
      <c r="O24" s="5">
        <f ca="1">'1RA SEGURIDAD PUBLICA'!M12</f>
        <v>0</v>
      </c>
      <c r="P24" s="5">
        <f ca="1">'1RA SEGURIDAD PUBLICA'!N12</f>
        <v>0</v>
      </c>
      <c r="Q24" s="5">
        <f ca="1">'1RA SEGURIDAD PUBLICA'!O12</f>
        <v>0</v>
      </c>
      <c r="R24" s="5">
        <f ca="1">'1RA SEGURIDAD PUBLICA'!P12</f>
        <v>0</v>
      </c>
      <c r="S24" s="5">
        <f ca="1">'1RA SEGURIDAD PUBLICA'!Q12</f>
        <v>0</v>
      </c>
      <c r="T24" s="5">
        <f ca="1">'1RA SEGURIDAD PUBLICA'!R12</f>
        <v>0</v>
      </c>
      <c r="U24" s="5">
        <f ca="1">'1RA SEGURIDAD PUBLICA'!S12</f>
        <v>0</v>
      </c>
    </row>
    <row r="25" spans="1:21" ht="39.75" customHeight="1">
      <c r="A25" s="30"/>
      <c r="B25" s="32" t="s">
        <v>54</v>
      </c>
      <c r="C25" s="5" t="s">
        <v>55</v>
      </c>
      <c r="D25" s="5">
        <f ca="1">'1RA SEGURIDAD PUBLICA'!B13</f>
        <v>1</v>
      </c>
      <c r="E25" s="5">
        <f>'1RA SEGURIDAD PUBLICA'!C13</f>
        <v>0</v>
      </c>
      <c r="F25" s="5" t="str">
        <f ca="1">'1RA SEGURIDAD PUBLICA'!D13</f>
        <v>ASCENDENTE</v>
      </c>
      <c r="G25" s="5" t="str">
        <f ca="1">'1RA SEGURIDAD PUBLICA'!E13</f>
        <v>BITACORA OPERATIVA</v>
      </c>
      <c r="H25" s="5">
        <f ca="1">'1RA SEGURIDAD PUBLICA'!F13</f>
        <v>0</v>
      </c>
      <c r="I25" s="5">
        <f ca="1">'1RA SEGURIDAD PUBLICA'!G13</f>
        <v>0</v>
      </c>
      <c r="J25" s="5">
        <f ca="1">'1RA SEGURIDAD PUBLICA'!H13</f>
        <v>0</v>
      </c>
      <c r="K25" s="5">
        <f ca="1">'1RA SEGURIDAD PUBLICA'!I13</f>
        <v>0</v>
      </c>
      <c r="L25" s="5">
        <f ca="1">'1RA SEGURIDAD PUBLICA'!J13</f>
        <v>0</v>
      </c>
      <c r="M25" s="5">
        <f ca="1">'1RA SEGURIDAD PUBLICA'!K13</f>
        <v>0</v>
      </c>
      <c r="N25" s="5">
        <f ca="1">'1RA SEGURIDAD PUBLICA'!L13</f>
        <v>0</v>
      </c>
      <c r="O25" s="5">
        <f ca="1">'1RA SEGURIDAD PUBLICA'!M13</f>
        <v>0</v>
      </c>
      <c r="P25" s="5">
        <f ca="1">'1RA SEGURIDAD PUBLICA'!N13</f>
        <v>0</v>
      </c>
      <c r="Q25" s="5">
        <f ca="1">'1RA SEGURIDAD PUBLICA'!O13</f>
        <v>0</v>
      </c>
      <c r="R25" s="5">
        <f ca="1">'1RA SEGURIDAD PUBLICA'!P13</f>
        <v>0</v>
      </c>
      <c r="S25" s="5">
        <f ca="1">'1RA SEGURIDAD PUBLICA'!Q13</f>
        <v>0</v>
      </c>
      <c r="T25" s="5">
        <f ca="1">'1RA SEGURIDAD PUBLICA'!R13</f>
        <v>0</v>
      </c>
      <c r="U25" s="5">
        <f ca="1">'1RA SEGURIDAD PUBLICA'!S13</f>
        <v>0</v>
      </c>
    </row>
    <row r="26" spans="1:21" ht="39.75" customHeight="1">
      <c r="A26" s="30"/>
      <c r="B26" s="30"/>
      <c r="C26" s="5" t="s">
        <v>56</v>
      </c>
      <c r="D26" s="5">
        <f ca="1">'1RA SEGURIDAD PUBLICA'!B14</f>
        <v>1</v>
      </c>
      <c r="E26" s="5">
        <f>'1RA SEGURIDAD PUBLICA'!C14</f>
        <v>0</v>
      </c>
      <c r="F26" s="5" t="str">
        <f ca="1">'1RA SEGURIDAD PUBLICA'!D14</f>
        <v>ASCENDENTE</v>
      </c>
      <c r="G26" s="5" t="str">
        <f ca="1">'1RA SEGURIDAD PUBLICA'!E14</f>
        <v>BITACORA OPERATIVA</v>
      </c>
      <c r="H26" s="5">
        <f ca="1">'1RA SEGURIDAD PUBLICA'!F14</f>
        <v>0</v>
      </c>
      <c r="I26" s="5">
        <f ca="1">'1RA SEGURIDAD PUBLICA'!G14</f>
        <v>0</v>
      </c>
      <c r="J26" s="5">
        <f ca="1">'1RA SEGURIDAD PUBLICA'!H14</f>
        <v>0</v>
      </c>
      <c r="K26" s="5">
        <f ca="1">'1RA SEGURIDAD PUBLICA'!I14</f>
        <v>0</v>
      </c>
      <c r="L26" s="5">
        <f ca="1">'1RA SEGURIDAD PUBLICA'!J14</f>
        <v>0</v>
      </c>
      <c r="M26" s="5">
        <f ca="1">'1RA SEGURIDAD PUBLICA'!K14</f>
        <v>0</v>
      </c>
      <c r="N26" s="5">
        <f ca="1">'1RA SEGURIDAD PUBLICA'!L14</f>
        <v>0</v>
      </c>
      <c r="O26" s="5">
        <f ca="1">'1RA SEGURIDAD PUBLICA'!M14</f>
        <v>0</v>
      </c>
      <c r="P26" s="5">
        <f ca="1">'1RA SEGURIDAD PUBLICA'!N14</f>
        <v>0</v>
      </c>
      <c r="Q26" s="5">
        <f ca="1">'1RA SEGURIDAD PUBLICA'!O14</f>
        <v>0</v>
      </c>
      <c r="R26" s="5">
        <f ca="1">'1RA SEGURIDAD PUBLICA'!P14</f>
        <v>0</v>
      </c>
      <c r="S26" s="5">
        <f ca="1">'1RA SEGURIDAD PUBLICA'!Q14</f>
        <v>0</v>
      </c>
      <c r="T26" s="5">
        <f ca="1">'1RA SEGURIDAD PUBLICA'!R14</f>
        <v>0</v>
      </c>
      <c r="U26" s="5">
        <f ca="1">'1RA SEGURIDAD PUBLICA'!S14</f>
        <v>0</v>
      </c>
    </row>
    <row r="27" spans="1:21" ht="39.75" customHeight="1">
      <c r="A27" s="30"/>
      <c r="B27" s="30"/>
      <c r="C27" s="5" t="s">
        <v>57</v>
      </c>
      <c r="D27" s="5">
        <f ca="1">'1RA SEGURIDAD PUBLICA'!B15</f>
        <v>1</v>
      </c>
      <c r="E27" s="5">
        <f>'1RA SEGURIDAD PUBLICA'!C15</f>
        <v>0</v>
      </c>
      <c r="F27" s="5" t="str">
        <f ca="1">'1RA SEGURIDAD PUBLICA'!D15</f>
        <v>ASCENDENTE</v>
      </c>
      <c r="G27" s="5" t="str">
        <f ca="1">'1RA SEGURIDAD PUBLICA'!E15</f>
        <v>BITACORA OPERATIVA</v>
      </c>
      <c r="H27" s="5">
        <f ca="1">'1RA SEGURIDAD PUBLICA'!F15</f>
        <v>0</v>
      </c>
      <c r="I27" s="5">
        <f ca="1">'1RA SEGURIDAD PUBLICA'!G15</f>
        <v>0</v>
      </c>
      <c r="J27" s="5">
        <f ca="1">'1RA SEGURIDAD PUBLICA'!H15</f>
        <v>0</v>
      </c>
      <c r="K27" s="5">
        <f ca="1">'1RA SEGURIDAD PUBLICA'!I15</f>
        <v>0</v>
      </c>
      <c r="L27" s="5">
        <f ca="1">'1RA SEGURIDAD PUBLICA'!J15</f>
        <v>0</v>
      </c>
      <c r="M27" s="5">
        <f ca="1">'1RA SEGURIDAD PUBLICA'!K15</f>
        <v>0</v>
      </c>
      <c r="N27" s="5">
        <f ca="1">'1RA SEGURIDAD PUBLICA'!L15</f>
        <v>0</v>
      </c>
      <c r="O27" s="5">
        <f ca="1">'1RA SEGURIDAD PUBLICA'!M15</f>
        <v>0</v>
      </c>
      <c r="P27" s="5">
        <f ca="1">'1RA SEGURIDAD PUBLICA'!N15</f>
        <v>0</v>
      </c>
      <c r="Q27" s="5">
        <f ca="1">'1RA SEGURIDAD PUBLICA'!O15</f>
        <v>0</v>
      </c>
      <c r="R27" s="5">
        <f ca="1">'1RA SEGURIDAD PUBLICA'!P15</f>
        <v>0</v>
      </c>
      <c r="S27" s="5">
        <f ca="1">'1RA SEGURIDAD PUBLICA'!Q15</f>
        <v>0</v>
      </c>
      <c r="T27" s="5">
        <f ca="1">'1RA SEGURIDAD PUBLICA'!R15</f>
        <v>0</v>
      </c>
      <c r="U27" s="5">
        <f ca="1">'1RA SEGURIDAD PUBLICA'!S15</f>
        <v>0</v>
      </c>
    </row>
    <row r="28" spans="1:21" ht="39.75" customHeight="1">
      <c r="A28" s="30"/>
      <c r="B28" s="30"/>
      <c r="C28" s="5" t="s">
        <v>58</v>
      </c>
      <c r="D28" s="5">
        <f ca="1">'1RA SEGURIDAD PUBLICA'!B16</f>
        <v>1</v>
      </c>
      <c r="E28" s="5">
        <f>'1RA SEGURIDAD PUBLICA'!C16</f>
        <v>0</v>
      </c>
      <c r="F28" s="5" t="str">
        <f ca="1">'1RA SEGURIDAD PUBLICA'!D16</f>
        <v>ASCENDENTE</v>
      </c>
      <c r="G28" s="5" t="str">
        <f ca="1">'1RA SEGURIDAD PUBLICA'!E16</f>
        <v>BITACORA OPERATIVA</v>
      </c>
      <c r="H28" s="5">
        <f ca="1">'1RA SEGURIDAD PUBLICA'!F16</f>
        <v>0</v>
      </c>
      <c r="I28" s="5">
        <f ca="1">'1RA SEGURIDAD PUBLICA'!G16</f>
        <v>0</v>
      </c>
      <c r="J28" s="5">
        <f ca="1">'1RA SEGURIDAD PUBLICA'!H16</f>
        <v>0</v>
      </c>
      <c r="K28" s="5">
        <f ca="1">'1RA SEGURIDAD PUBLICA'!I16</f>
        <v>0</v>
      </c>
      <c r="L28" s="5">
        <f ca="1">'1RA SEGURIDAD PUBLICA'!J16</f>
        <v>0</v>
      </c>
      <c r="M28" s="5">
        <f ca="1">'1RA SEGURIDAD PUBLICA'!K16</f>
        <v>0</v>
      </c>
      <c r="N28" s="5">
        <f ca="1">'1RA SEGURIDAD PUBLICA'!L16</f>
        <v>0</v>
      </c>
      <c r="O28" s="5">
        <f ca="1">'1RA SEGURIDAD PUBLICA'!M16</f>
        <v>0</v>
      </c>
      <c r="P28" s="5">
        <f ca="1">'1RA SEGURIDAD PUBLICA'!N16</f>
        <v>0</v>
      </c>
      <c r="Q28" s="5">
        <f ca="1">'1RA SEGURIDAD PUBLICA'!O16</f>
        <v>0</v>
      </c>
      <c r="R28" s="5">
        <f ca="1">'1RA SEGURIDAD PUBLICA'!P16</f>
        <v>0</v>
      </c>
      <c r="S28" s="5">
        <f ca="1">'1RA SEGURIDAD PUBLICA'!Q16</f>
        <v>0</v>
      </c>
      <c r="T28" s="5">
        <f ca="1">'1RA SEGURIDAD PUBLICA'!R16</f>
        <v>0</v>
      </c>
      <c r="U28" s="5">
        <f ca="1">'1RA SEGURIDAD PUBLICA'!S16</f>
        <v>0</v>
      </c>
    </row>
    <row r="29" spans="1:21" ht="39.75" customHeight="1">
      <c r="A29" s="30"/>
      <c r="B29" s="31"/>
      <c r="C29" s="5" t="s">
        <v>59</v>
      </c>
      <c r="D29" s="5">
        <f ca="1">'1RA SEGURIDAD PUBLICA'!B17</f>
        <v>1</v>
      </c>
      <c r="E29" s="5">
        <f>'1RA SEGURIDAD PUBLICA'!C17</f>
        <v>0</v>
      </c>
      <c r="F29" s="5" t="str">
        <f ca="1">'1RA SEGURIDAD PUBLICA'!D17</f>
        <v>ASCENDENTE</v>
      </c>
      <c r="G29" s="5" t="str">
        <f ca="1">'1RA SEGURIDAD PUBLICA'!E17</f>
        <v>BITACORA OPERATIVA</v>
      </c>
      <c r="H29" s="5">
        <f ca="1">'1RA SEGURIDAD PUBLICA'!F17</f>
        <v>0</v>
      </c>
      <c r="I29" s="5">
        <f ca="1">'1RA SEGURIDAD PUBLICA'!G17</f>
        <v>0</v>
      </c>
      <c r="J29" s="5">
        <f ca="1">'1RA SEGURIDAD PUBLICA'!H17</f>
        <v>0</v>
      </c>
      <c r="K29" s="5">
        <f ca="1">'1RA SEGURIDAD PUBLICA'!I17</f>
        <v>0</v>
      </c>
      <c r="L29" s="5">
        <f ca="1">'1RA SEGURIDAD PUBLICA'!J17</f>
        <v>0</v>
      </c>
      <c r="M29" s="5">
        <f ca="1">'1RA SEGURIDAD PUBLICA'!K17</f>
        <v>0</v>
      </c>
      <c r="N29" s="5">
        <f ca="1">'1RA SEGURIDAD PUBLICA'!L17</f>
        <v>0</v>
      </c>
      <c r="O29" s="5">
        <f ca="1">'1RA SEGURIDAD PUBLICA'!M17</f>
        <v>0</v>
      </c>
      <c r="P29" s="5">
        <f ca="1">'1RA SEGURIDAD PUBLICA'!N17</f>
        <v>0</v>
      </c>
      <c r="Q29" s="5">
        <f ca="1">'1RA SEGURIDAD PUBLICA'!O17</f>
        <v>0</v>
      </c>
      <c r="R29" s="5">
        <f ca="1">'1RA SEGURIDAD PUBLICA'!P17</f>
        <v>0</v>
      </c>
      <c r="S29" s="5">
        <f ca="1">'1RA SEGURIDAD PUBLICA'!Q17</f>
        <v>0</v>
      </c>
      <c r="T29" s="5">
        <f ca="1">'1RA SEGURIDAD PUBLICA'!R17</f>
        <v>0</v>
      </c>
      <c r="U29" s="5">
        <f ca="1">'1RA SEGURIDAD PUBLICA'!S17</f>
        <v>0</v>
      </c>
    </row>
    <row r="30" spans="1:21" ht="39.75" customHeight="1">
      <c r="A30" s="30"/>
      <c r="B30" s="32" t="s">
        <v>60</v>
      </c>
      <c r="C30" s="5" t="s">
        <v>61</v>
      </c>
      <c r="D30" s="5">
        <f ca="1">'1RA SEGURIDAD PUBLICA'!B18</f>
        <v>1</v>
      </c>
      <c r="E30" s="5">
        <f>'1RA SEGURIDAD PUBLICA'!C18</f>
        <v>0</v>
      </c>
      <c r="F30" s="5" t="str">
        <f ca="1">'1RA SEGURIDAD PUBLICA'!D18</f>
        <v>ASCENDENTE</v>
      </c>
      <c r="G30" s="5" t="str">
        <f ca="1">'1RA SEGURIDAD PUBLICA'!E18</f>
        <v>BITACORA OPERATIVA</v>
      </c>
      <c r="H30" s="5">
        <f ca="1">'1RA SEGURIDAD PUBLICA'!F18</f>
        <v>0</v>
      </c>
      <c r="I30" s="5">
        <f ca="1">'1RA SEGURIDAD PUBLICA'!G18</f>
        <v>0</v>
      </c>
      <c r="J30" s="5">
        <f ca="1">'1RA SEGURIDAD PUBLICA'!H18</f>
        <v>0</v>
      </c>
      <c r="K30" s="5">
        <f ca="1">'1RA SEGURIDAD PUBLICA'!I18</f>
        <v>0</v>
      </c>
      <c r="L30" s="5">
        <f ca="1">'1RA SEGURIDAD PUBLICA'!J18</f>
        <v>0</v>
      </c>
      <c r="M30" s="5">
        <f ca="1">'1RA SEGURIDAD PUBLICA'!K18</f>
        <v>0</v>
      </c>
      <c r="N30" s="5">
        <f ca="1">'1RA SEGURIDAD PUBLICA'!L18</f>
        <v>0</v>
      </c>
      <c r="O30" s="5">
        <f ca="1">'1RA SEGURIDAD PUBLICA'!M18</f>
        <v>0</v>
      </c>
      <c r="P30" s="5">
        <f ca="1">'1RA SEGURIDAD PUBLICA'!N18</f>
        <v>0</v>
      </c>
      <c r="Q30" s="5">
        <f ca="1">'1RA SEGURIDAD PUBLICA'!O18</f>
        <v>0</v>
      </c>
      <c r="R30" s="5">
        <f ca="1">'1RA SEGURIDAD PUBLICA'!P18</f>
        <v>0</v>
      </c>
      <c r="S30" s="5">
        <f ca="1">'1RA SEGURIDAD PUBLICA'!Q18</f>
        <v>0</v>
      </c>
      <c r="T30" s="5">
        <f ca="1">'1RA SEGURIDAD PUBLICA'!R18</f>
        <v>0</v>
      </c>
      <c r="U30" s="5">
        <f ca="1">'1RA SEGURIDAD PUBLICA'!S18</f>
        <v>0</v>
      </c>
    </row>
    <row r="31" spans="1:21" ht="39.75" customHeight="1">
      <c r="A31" s="30"/>
      <c r="B31" s="30"/>
      <c r="C31" s="5" t="s">
        <v>62</v>
      </c>
      <c r="D31" s="5">
        <f ca="1">'1RA SEGURIDAD PUBLICA'!B19</f>
        <v>1</v>
      </c>
      <c r="E31" s="5">
        <f>'1RA SEGURIDAD PUBLICA'!C19</f>
        <v>0</v>
      </c>
      <c r="F31" s="5" t="str">
        <f ca="1">'1RA SEGURIDAD PUBLICA'!D19</f>
        <v>ASCENDENTE</v>
      </c>
      <c r="G31" s="5" t="str">
        <f ca="1">'1RA SEGURIDAD PUBLICA'!E19</f>
        <v>BITACORA OPERATIVA</v>
      </c>
      <c r="H31" s="5">
        <f ca="1">'1RA SEGURIDAD PUBLICA'!F19</f>
        <v>0</v>
      </c>
      <c r="I31" s="5">
        <f ca="1">'1RA SEGURIDAD PUBLICA'!G19</f>
        <v>0</v>
      </c>
      <c r="J31" s="5">
        <f ca="1">'1RA SEGURIDAD PUBLICA'!H19</f>
        <v>0</v>
      </c>
      <c r="K31" s="5">
        <f ca="1">'1RA SEGURIDAD PUBLICA'!I19</f>
        <v>0</v>
      </c>
      <c r="L31" s="5">
        <f ca="1">'1RA SEGURIDAD PUBLICA'!J19</f>
        <v>0</v>
      </c>
      <c r="M31" s="5">
        <f ca="1">'1RA SEGURIDAD PUBLICA'!K19</f>
        <v>0</v>
      </c>
      <c r="N31" s="5">
        <f ca="1">'1RA SEGURIDAD PUBLICA'!L19</f>
        <v>0</v>
      </c>
      <c r="O31" s="5">
        <f ca="1">'1RA SEGURIDAD PUBLICA'!M19</f>
        <v>0</v>
      </c>
      <c r="P31" s="5">
        <f ca="1">'1RA SEGURIDAD PUBLICA'!N19</f>
        <v>0</v>
      </c>
      <c r="Q31" s="5">
        <f ca="1">'1RA SEGURIDAD PUBLICA'!O19</f>
        <v>0</v>
      </c>
      <c r="R31" s="5">
        <f ca="1">'1RA SEGURIDAD PUBLICA'!P19</f>
        <v>0</v>
      </c>
      <c r="S31" s="5">
        <f ca="1">'1RA SEGURIDAD PUBLICA'!Q19</f>
        <v>0</v>
      </c>
      <c r="T31" s="5">
        <f ca="1">'1RA SEGURIDAD PUBLICA'!R19</f>
        <v>0</v>
      </c>
      <c r="U31" s="5">
        <f ca="1">'1RA SEGURIDAD PUBLICA'!S19</f>
        <v>0</v>
      </c>
    </row>
    <row r="32" spans="1:21" ht="39.75" customHeight="1">
      <c r="A32" s="30"/>
      <c r="B32" s="30"/>
      <c r="C32" s="5" t="s">
        <v>63</v>
      </c>
      <c r="D32" s="5">
        <f ca="1">'1RA SEGURIDAD PUBLICA'!B20</f>
        <v>1</v>
      </c>
      <c r="E32" s="5">
        <f>'1RA SEGURIDAD PUBLICA'!C20</f>
        <v>0</v>
      </c>
      <c r="F32" s="5" t="str">
        <f ca="1">'1RA SEGURIDAD PUBLICA'!D20</f>
        <v>ASCENDENTE</v>
      </c>
      <c r="G32" s="5" t="str">
        <f ca="1">'1RA SEGURIDAD PUBLICA'!E20</f>
        <v>BITACORA OPERATIVA</v>
      </c>
      <c r="H32" s="5">
        <f ca="1">'1RA SEGURIDAD PUBLICA'!F20</f>
        <v>0</v>
      </c>
      <c r="I32" s="5">
        <f ca="1">'1RA SEGURIDAD PUBLICA'!G20</f>
        <v>0</v>
      </c>
      <c r="J32" s="5">
        <f ca="1">'1RA SEGURIDAD PUBLICA'!H20</f>
        <v>0</v>
      </c>
      <c r="K32" s="5">
        <f ca="1">'1RA SEGURIDAD PUBLICA'!I20</f>
        <v>0</v>
      </c>
      <c r="L32" s="5">
        <f ca="1">'1RA SEGURIDAD PUBLICA'!J20</f>
        <v>0</v>
      </c>
      <c r="M32" s="5">
        <f ca="1">'1RA SEGURIDAD PUBLICA'!K20</f>
        <v>0</v>
      </c>
      <c r="N32" s="5">
        <f ca="1">'1RA SEGURIDAD PUBLICA'!L20</f>
        <v>0</v>
      </c>
      <c r="O32" s="5">
        <f ca="1">'1RA SEGURIDAD PUBLICA'!M20</f>
        <v>0</v>
      </c>
      <c r="P32" s="5">
        <f ca="1">'1RA SEGURIDAD PUBLICA'!N20</f>
        <v>0</v>
      </c>
      <c r="Q32" s="5">
        <f ca="1">'1RA SEGURIDAD PUBLICA'!O20</f>
        <v>0</v>
      </c>
      <c r="R32" s="5">
        <f ca="1">'1RA SEGURIDAD PUBLICA'!P20</f>
        <v>0</v>
      </c>
      <c r="S32" s="5">
        <f ca="1">'1RA SEGURIDAD PUBLICA'!Q20</f>
        <v>0</v>
      </c>
      <c r="T32" s="5">
        <f ca="1">'1RA SEGURIDAD PUBLICA'!R20</f>
        <v>0</v>
      </c>
      <c r="U32" s="5">
        <f ca="1">'1RA SEGURIDAD PUBLICA'!S20</f>
        <v>0</v>
      </c>
    </row>
    <row r="33" spans="1:21" ht="39.75" customHeight="1">
      <c r="A33" s="30"/>
      <c r="B33" s="30"/>
      <c r="C33" s="5" t="s">
        <v>64</v>
      </c>
      <c r="D33" s="5">
        <f ca="1">'1RA SEGURIDAD PUBLICA'!B21</f>
        <v>1</v>
      </c>
      <c r="E33" s="5">
        <f>'1RA SEGURIDAD PUBLICA'!C21</f>
        <v>0</v>
      </c>
      <c r="F33" s="5" t="str">
        <f ca="1">'1RA SEGURIDAD PUBLICA'!D21</f>
        <v>ASCENDENTE</v>
      </c>
      <c r="G33" s="5" t="str">
        <f ca="1">'1RA SEGURIDAD PUBLICA'!E21</f>
        <v>BITACORA OPERATIVA</v>
      </c>
      <c r="H33" s="5">
        <f ca="1">'1RA SEGURIDAD PUBLICA'!F21</f>
        <v>0</v>
      </c>
      <c r="I33" s="5">
        <f ca="1">'1RA SEGURIDAD PUBLICA'!G21</f>
        <v>0</v>
      </c>
      <c r="J33" s="5">
        <f ca="1">'1RA SEGURIDAD PUBLICA'!H21</f>
        <v>0</v>
      </c>
      <c r="K33" s="5">
        <f ca="1">'1RA SEGURIDAD PUBLICA'!I21</f>
        <v>0</v>
      </c>
      <c r="L33" s="5">
        <f ca="1">'1RA SEGURIDAD PUBLICA'!J21</f>
        <v>0</v>
      </c>
      <c r="M33" s="5">
        <f ca="1">'1RA SEGURIDAD PUBLICA'!K21</f>
        <v>0</v>
      </c>
      <c r="N33" s="5">
        <f ca="1">'1RA SEGURIDAD PUBLICA'!L21</f>
        <v>0</v>
      </c>
      <c r="O33" s="5">
        <f ca="1">'1RA SEGURIDAD PUBLICA'!M21</f>
        <v>0</v>
      </c>
      <c r="P33" s="5">
        <f ca="1">'1RA SEGURIDAD PUBLICA'!N21</f>
        <v>0</v>
      </c>
      <c r="Q33" s="5">
        <f ca="1">'1RA SEGURIDAD PUBLICA'!O21</f>
        <v>0</v>
      </c>
      <c r="R33" s="5">
        <f ca="1">'1RA SEGURIDAD PUBLICA'!P21</f>
        <v>0</v>
      </c>
      <c r="S33" s="5">
        <f ca="1">'1RA SEGURIDAD PUBLICA'!Q21</f>
        <v>0</v>
      </c>
      <c r="T33" s="5">
        <f ca="1">'1RA SEGURIDAD PUBLICA'!R21</f>
        <v>0</v>
      </c>
      <c r="U33" s="5">
        <f ca="1">'1RA SEGURIDAD PUBLICA'!S21</f>
        <v>0</v>
      </c>
    </row>
    <row r="34" spans="1:21" ht="39.75" customHeight="1">
      <c r="A34" s="30"/>
      <c r="B34" s="30"/>
      <c r="C34" s="5" t="s">
        <v>65</v>
      </c>
      <c r="D34" s="5">
        <f ca="1">'1RA SEGURIDAD PUBLICA'!B22</f>
        <v>1</v>
      </c>
      <c r="E34" s="5">
        <f>'1RA SEGURIDAD PUBLICA'!C22</f>
        <v>0</v>
      </c>
      <c r="F34" s="5" t="str">
        <f ca="1">'1RA SEGURIDAD PUBLICA'!D22</f>
        <v>ASCENDENTE</v>
      </c>
      <c r="G34" s="5" t="str">
        <f ca="1">'1RA SEGURIDAD PUBLICA'!E22</f>
        <v>BITACORA OPERATIVA</v>
      </c>
      <c r="H34" s="5">
        <f ca="1">'1RA SEGURIDAD PUBLICA'!F22</f>
        <v>0</v>
      </c>
      <c r="I34" s="5">
        <f ca="1">'1RA SEGURIDAD PUBLICA'!G22</f>
        <v>0</v>
      </c>
      <c r="J34" s="5">
        <f ca="1">'1RA SEGURIDAD PUBLICA'!H22</f>
        <v>0</v>
      </c>
      <c r="K34" s="5">
        <f ca="1">'1RA SEGURIDAD PUBLICA'!I22</f>
        <v>0</v>
      </c>
      <c r="L34" s="5">
        <f ca="1">'1RA SEGURIDAD PUBLICA'!J22</f>
        <v>0</v>
      </c>
      <c r="M34" s="5">
        <f ca="1">'1RA SEGURIDAD PUBLICA'!K22</f>
        <v>0</v>
      </c>
      <c r="N34" s="5">
        <f ca="1">'1RA SEGURIDAD PUBLICA'!L22</f>
        <v>0</v>
      </c>
      <c r="O34" s="5">
        <f ca="1">'1RA SEGURIDAD PUBLICA'!M22</f>
        <v>0</v>
      </c>
      <c r="P34" s="5">
        <f ca="1">'1RA SEGURIDAD PUBLICA'!N22</f>
        <v>0</v>
      </c>
      <c r="Q34" s="5">
        <f ca="1">'1RA SEGURIDAD PUBLICA'!O22</f>
        <v>0</v>
      </c>
      <c r="R34" s="5">
        <f ca="1">'1RA SEGURIDAD PUBLICA'!P22</f>
        <v>0</v>
      </c>
      <c r="S34" s="5">
        <f ca="1">'1RA SEGURIDAD PUBLICA'!Q22</f>
        <v>0</v>
      </c>
      <c r="T34" s="5">
        <f ca="1">'1RA SEGURIDAD PUBLICA'!R22</f>
        <v>0</v>
      </c>
      <c r="U34" s="5">
        <f ca="1">'1RA SEGURIDAD PUBLICA'!S22</f>
        <v>0</v>
      </c>
    </row>
    <row r="35" spans="1:21" ht="39.75" customHeight="1">
      <c r="A35" s="30"/>
      <c r="B35" s="30"/>
      <c r="C35" s="5" t="s">
        <v>52</v>
      </c>
      <c r="D35" s="5">
        <f ca="1">'1RA SEGURIDAD PUBLICA'!B23</f>
        <v>1</v>
      </c>
      <c r="E35" s="5">
        <f>'1RA SEGURIDAD PUBLICA'!C23</f>
        <v>0</v>
      </c>
      <c r="F35" s="5" t="str">
        <f ca="1">'1RA SEGURIDAD PUBLICA'!D23</f>
        <v>ASCENDENTE</v>
      </c>
      <c r="G35" s="5" t="str">
        <f ca="1">'1RA SEGURIDAD PUBLICA'!E23</f>
        <v>BITACORA OPERATIVA</v>
      </c>
      <c r="H35" s="5">
        <f ca="1">'1RA SEGURIDAD PUBLICA'!F23</f>
        <v>0</v>
      </c>
      <c r="I35" s="5">
        <f ca="1">'1RA SEGURIDAD PUBLICA'!G23</f>
        <v>0</v>
      </c>
      <c r="J35" s="5">
        <f ca="1">'1RA SEGURIDAD PUBLICA'!H23</f>
        <v>0</v>
      </c>
      <c r="K35" s="5">
        <f ca="1">'1RA SEGURIDAD PUBLICA'!I23</f>
        <v>0</v>
      </c>
      <c r="L35" s="5">
        <f ca="1">'1RA SEGURIDAD PUBLICA'!J23</f>
        <v>0</v>
      </c>
      <c r="M35" s="5">
        <f ca="1">'1RA SEGURIDAD PUBLICA'!K23</f>
        <v>0</v>
      </c>
      <c r="N35" s="5">
        <f ca="1">'1RA SEGURIDAD PUBLICA'!L23</f>
        <v>0</v>
      </c>
      <c r="O35" s="5">
        <f ca="1">'1RA SEGURIDAD PUBLICA'!M23</f>
        <v>0</v>
      </c>
      <c r="P35" s="5">
        <f ca="1">'1RA SEGURIDAD PUBLICA'!N23</f>
        <v>0</v>
      </c>
      <c r="Q35" s="5">
        <f ca="1">'1RA SEGURIDAD PUBLICA'!O23</f>
        <v>0</v>
      </c>
      <c r="R35" s="5">
        <f ca="1">'1RA SEGURIDAD PUBLICA'!P23</f>
        <v>0</v>
      </c>
      <c r="S35" s="5">
        <f ca="1">'1RA SEGURIDAD PUBLICA'!Q23</f>
        <v>0</v>
      </c>
      <c r="T35" s="5">
        <f ca="1">'1RA SEGURIDAD PUBLICA'!R23</f>
        <v>0</v>
      </c>
      <c r="U35" s="5">
        <f ca="1">'1RA SEGURIDAD PUBLICA'!S23</f>
        <v>0</v>
      </c>
    </row>
    <row r="36" spans="1:21" ht="39.75" customHeight="1">
      <c r="A36" s="31"/>
      <c r="B36" s="31"/>
      <c r="C36" s="5" t="s">
        <v>66</v>
      </c>
      <c r="D36" s="5">
        <f ca="1">'1RA SEGURIDAD PUBLICA'!B24</f>
        <v>1</v>
      </c>
      <c r="E36" s="5">
        <f>'1RA SEGURIDAD PUBLICA'!C24</f>
        <v>0</v>
      </c>
      <c r="F36" s="5" t="str">
        <f ca="1">'1RA SEGURIDAD PUBLICA'!D24</f>
        <v>ASCENDENTE</v>
      </c>
      <c r="G36" s="5" t="str">
        <f ca="1">'1RA SEGURIDAD PUBLICA'!E24</f>
        <v>BITACORA OPERATIVA</v>
      </c>
      <c r="H36" s="5">
        <f ca="1">'1RA SEGURIDAD PUBLICA'!F24</f>
        <v>0</v>
      </c>
      <c r="I36" s="5">
        <f ca="1">'1RA SEGURIDAD PUBLICA'!G24</f>
        <v>0</v>
      </c>
      <c r="J36" s="5">
        <f ca="1">'1RA SEGURIDAD PUBLICA'!H24</f>
        <v>0</v>
      </c>
      <c r="K36" s="5">
        <f ca="1">'1RA SEGURIDAD PUBLICA'!I24</f>
        <v>0</v>
      </c>
      <c r="L36" s="5">
        <f ca="1">'1RA SEGURIDAD PUBLICA'!J24</f>
        <v>0</v>
      </c>
      <c r="M36" s="5">
        <f ca="1">'1RA SEGURIDAD PUBLICA'!K24</f>
        <v>0</v>
      </c>
      <c r="N36" s="5">
        <f ca="1">'1RA SEGURIDAD PUBLICA'!L24</f>
        <v>0</v>
      </c>
      <c r="O36" s="5">
        <f ca="1">'1RA SEGURIDAD PUBLICA'!M24</f>
        <v>0</v>
      </c>
      <c r="P36" s="5">
        <f ca="1">'1RA SEGURIDAD PUBLICA'!N24</f>
        <v>0</v>
      </c>
      <c r="Q36" s="5">
        <f ca="1">'1RA SEGURIDAD PUBLICA'!O24</f>
        <v>0</v>
      </c>
      <c r="R36" s="5">
        <f ca="1">'1RA SEGURIDAD PUBLICA'!P24</f>
        <v>0</v>
      </c>
      <c r="S36" s="5">
        <f ca="1">'1RA SEGURIDAD PUBLICA'!Q24</f>
        <v>0</v>
      </c>
      <c r="T36" s="5">
        <f ca="1">'1RA SEGURIDAD PUBLICA'!R24</f>
        <v>0</v>
      </c>
      <c r="U36" s="5">
        <f ca="1">'1RA SEGURIDAD PUBLICA'!S24</f>
        <v>0</v>
      </c>
    </row>
    <row r="37" spans="1:21" ht="39.75" customHeight="1">
      <c r="A37" s="32" t="s">
        <v>67</v>
      </c>
      <c r="B37" s="32" t="s">
        <v>68</v>
      </c>
      <c r="C37" s="5" t="s">
        <v>69</v>
      </c>
      <c r="D37" s="5">
        <f ca="1">'1RA SEGURIDAD PUBLICA'!B25</f>
        <v>1</v>
      </c>
      <c r="E37" s="5">
        <f>'1RA SEGURIDAD PUBLICA'!C25</f>
        <v>0</v>
      </c>
      <c r="F37" s="5" t="str">
        <f ca="1">'1RA SEGURIDAD PUBLICA'!D25</f>
        <v>ASCENDENTE</v>
      </c>
      <c r="G37" s="5" t="str">
        <f ca="1">'1RA SEGURIDAD PUBLICA'!E25</f>
        <v>BITACORA OPERATIVA</v>
      </c>
      <c r="H37" s="5">
        <f ca="1">'1RA SEGURIDAD PUBLICA'!F25</f>
        <v>0</v>
      </c>
      <c r="I37" s="5">
        <f ca="1">'1RA SEGURIDAD PUBLICA'!G25</f>
        <v>0</v>
      </c>
      <c r="J37" s="5">
        <f ca="1">'1RA SEGURIDAD PUBLICA'!H25</f>
        <v>0</v>
      </c>
      <c r="K37" s="5">
        <f ca="1">'1RA SEGURIDAD PUBLICA'!I25</f>
        <v>0</v>
      </c>
      <c r="L37" s="5">
        <f ca="1">'1RA SEGURIDAD PUBLICA'!J25</f>
        <v>0</v>
      </c>
      <c r="M37" s="5">
        <f ca="1">'1RA SEGURIDAD PUBLICA'!K25</f>
        <v>0</v>
      </c>
      <c r="N37" s="5">
        <f ca="1">'1RA SEGURIDAD PUBLICA'!L25</f>
        <v>0</v>
      </c>
      <c r="O37" s="5">
        <f ca="1">'1RA SEGURIDAD PUBLICA'!M25</f>
        <v>0</v>
      </c>
      <c r="P37" s="5">
        <f ca="1">'1RA SEGURIDAD PUBLICA'!N25</f>
        <v>0</v>
      </c>
      <c r="Q37" s="5">
        <f ca="1">'1RA SEGURIDAD PUBLICA'!O25</f>
        <v>0</v>
      </c>
      <c r="R37" s="5">
        <f ca="1">'1RA SEGURIDAD PUBLICA'!P25</f>
        <v>0</v>
      </c>
      <c r="S37" s="5">
        <f ca="1">'1RA SEGURIDAD PUBLICA'!Q25</f>
        <v>0</v>
      </c>
      <c r="T37" s="5">
        <f ca="1">'1RA SEGURIDAD PUBLICA'!R25</f>
        <v>0</v>
      </c>
      <c r="U37" s="5">
        <f ca="1">'1RA SEGURIDAD PUBLICA'!S25</f>
        <v>0</v>
      </c>
    </row>
    <row r="38" spans="1:21" ht="39.75" customHeight="1">
      <c r="A38" s="30"/>
      <c r="B38" s="30"/>
      <c r="C38" s="5" t="s">
        <v>70</v>
      </c>
      <c r="D38" s="5">
        <f ca="1">'1RA SEGURIDAD PUBLICA'!B26</f>
        <v>1</v>
      </c>
      <c r="E38" s="5">
        <f>'1RA SEGURIDAD PUBLICA'!C26</f>
        <v>0</v>
      </c>
      <c r="F38" s="5" t="str">
        <f ca="1">'1RA SEGURIDAD PUBLICA'!D26</f>
        <v>ASCENDENTE</v>
      </c>
      <c r="G38" s="5" t="str">
        <f ca="1">'1RA SEGURIDAD PUBLICA'!E26</f>
        <v>BITACORA OPERATIVA</v>
      </c>
      <c r="H38" s="5">
        <f ca="1">'1RA SEGURIDAD PUBLICA'!F26</f>
        <v>0</v>
      </c>
      <c r="I38" s="5">
        <f ca="1">'1RA SEGURIDAD PUBLICA'!G26</f>
        <v>0</v>
      </c>
      <c r="J38" s="5">
        <f ca="1">'1RA SEGURIDAD PUBLICA'!H26</f>
        <v>0</v>
      </c>
      <c r="K38" s="5">
        <f ca="1">'1RA SEGURIDAD PUBLICA'!I26</f>
        <v>0</v>
      </c>
      <c r="L38" s="5">
        <f ca="1">'1RA SEGURIDAD PUBLICA'!J26</f>
        <v>0</v>
      </c>
      <c r="M38" s="5">
        <f ca="1">'1RA SEGURIDAD PUBLICA'!K26</f>
        <v>1</v>
      </c>
      <c r="N38" s="5">
        <f ca="1">'1RA SEGURIDAD PUBLICA'!L26</f>
        <v>0</v>
      </c>
      <c r="O38" s="5">
        <f ca="1">'1RA SEGURIDAD PUBLICA'!M26</f>
        <v>0</v>
      </c>
      <c r="P38" s="5">
        <f ca="1">'1RA SEGURIDAD PUBLICA'!N26</f>
        <v>0</v>
      </c>
      <c r="Q38" s="5">
        <f ca="1">'1RA SEGURIDAD PUBLICA'!O26</f>
        <v>0</v>
      </c>
      <c r="R38" s="5">
        <f ca="1">'1RA SEGURIDAD PUBLICA'!P26</f>
        <v>0</v>
      </c>
      <c r="S38" s="5">
        <f ca="1">'1RA SEGURIDAD PUBLICA'!Q26</f>
        <v>0</v>
      </c>
      <c r="T38" s="5">
        <f ca="1">'1RA SEGURIDAD PUBLICA'!R26</f>
        <v>0</v>
      </c>
      <c r="U38" s="5">
        <f ca="1">'1RA SEGURIDAD PUBLICA'!S26</f>
        <v>1</v>
      </c>
    </row>
    <row r="39" spans="1:21" ht="39.75" customHeight="1">
      <c r="A39" s="30"/>
      <c r="B39" s="30"/>
      <c r="C39" s="5" t="s">
        <v>71</v>
      </c>
      <c r="D39" s="5">
        <f ca="1">'1RA SEGURIDAD PUBLICA'!B27</f>
        <v>1</v>
      </c>
      <c r="E39" s="5">
        <f>'1RA SEGURIDAD PUBLICA'!C27</f>
        <v>0</v>
      </c>
      <c r="F39" s="5" t="str">
        <f ca="1">'1RA SEGURIDAD PUBLICA'!D27</f>
        <v>ASCENDENTE</v>
      </c>
      <c r="G39" s="5" t="str">
        <f ca="1">'1RA SEGURIDAD PUBLICA'!E27</f>
        <v>BITACORA OPERATIVA</v>
      </c>
      <c r="H39" s="5">
        <f ca="1">'1RA SEGURIDAD PUBLICA'!F27</f>
        <v>0</v>
      </c>
      <c r="I39" s="5">
        <f ca="1">'1RA SEGURIDAD PUBLICA'!G27</f>
        <v>0</v>
      </c>
      <c r="J39" s="5">
        <f ca="1">'1RA SEGURIDAD PUBLICA'!H27</f>
        <v>0</v>
      </c>
      <c r="K39" s="5">
        <f ca="1">'1RA SEGURIDAD PUBLICA'!I27</f>
        <v>0</v>
      </c>
      <c r="L39" s="5">
        <f ca="1">'1RA SEGURIDAD PUBLICA'!J27</f>
        <v>1</v>
      </c>
      <c r="M39" s="5">
        <f ca="1">'1RA SEGURIDAD PUBLICA'!K27</f>
        <v>0</v>
      </c>
      <c r="N39" s="5">
        <f ca="1">'1RA SEGURIDAD PUBLICA'!L27</f>
        <v>0</v>
      </c>
      <c r="O39" s="5">
        <f ca="1">'1RA SEGURIDAD PUBLICA'!M27</f>
        <v>0</v>
      </c>
      <c r="P39" s="5">
        <f ca="1">'1RA SEGURIDAD PUBLICA'!N27</f>
        <v>0</v>
      </c>
      <c r="Q39" s="5">
        <f ca="1">'1RA SEGURIDAD PUBLICA'!O27</f>
        <v>0</v>
      </c>
      <c r="R39" s="5">
        <f ca="1">'1RA SEGURIDAD PUBLICA'!P27</f>
        <v>0</v>
      </c>
      <c r="S39" s="5">
        <f ca="1">'1RA SEGURIDAD PUBLICA'!Q27</f>
        <v>0</v>
      </c>
      <c r="T39" s="5">
        <f ca="1">'1RA SEGURIDAD PUBLICA'!R27</f>
        <v>0</v>
      </c>
      <c r="U39" s="5">
        <f ca="1">'1RA SEGURIDAD PUBLICA'!S27</f>
        <v>1</v>
      </c>
    </row>
    <row r="40" spans="1:21" ht="39.75" customHeight="1">
      <c r="A40" s="30"/>
      <c r="B40" s="30"/>
      <c r="C40" s="5" t="s">
        <v>72</v>
      </c>
      <c r="D40" s="5">
        <f ca="1">'1RA SEGURIDAD PUBLICA'!B28</f>
        <v>1</v>
      </c>
      <c r="E40" s="5">
        <f>'1RA SEGURIDAD PUBLICA'!C28</f>
        <v>0</v>
      </c>
      <c r="F40" s="5" t="str">
        <f ca="1">'1RA SEGURIDAD PUBLICA'!D28</f>
        <v>ASCENDENTE</v>
      </c>
      <c r="G40" s="5" t="str">
        <f ca="1">'1RA SEGURIDAD PUBLICA'!E28</f>
        <v>BITACORA OPERATIVA</v>
      </c>
      <c r="H40" s="5">
        <f ca="1">'1RA SEGURIDAD PUBLICA'!F28</f>
        <v>0</v>
      </c>
      <c r="I40" s="5">
        <f ca="1">'1RA SEGURIDAD PUBLICA'!G28</f>
        <v>0</v>
      </c>
      <c r="J40" s="5">
        <f ca="1">'1RA SEGURIDAD PUBLICA'!H28</f>
        <v>0</v>
      </c>
      <c r="K40" s="5">
        <f ca="1">'1RA SEGURIDAD PUBLICA'!I28</f>
        <v>0</v>
      </c>
      <c r="L40" s="5">
        <f ca="1">'1RA SEGURIDAD PUBLICA'!J28</f>
        <v>0</v>
      </c>
      <c r="M40" s="5">
        <f ca="1">'1RA SEGURIDAD PUBLICA'!K28</f>
        <v>0</v>
      </c>
      <c r="N40" s="5">
        <f ca="1">'1RA SEGURIDAD PUBLICA'!L28</f>
        <v>0</v>
      </c>
      <c r="O40" s="5">
        <f ca="1">'1RA SEGURIDAD PUBLICA'!M28</f>
        <v>0</v>
      </c>
      <c r="P40" s="5">
        <f ca="1">'1RA SEGURIDAD PUBLICA'!N28</f>
        <v>0</v>
      </c>
      <c r="Q40" s="5">
        <f ca="1">'1RA SEGURIDAD PUBLICA'!O28</f>
        <v>0</v>
      </c>
      <c r="R40" s="5">
        <f ca="1">'1RA SEGURIDAD PUBLICA'!P28</f>
        <v>0</v>
      </c>
      <c r="S40" s="5">
        <f ca="1">'1RA SEGURIDAD PUBLICA'!Q28</f>
        <v>0</v>
      </c>
      <c r="T40" s="5">
        <f ca="1">'1RA SEGURIDAD PUBLICA'!R28</f>
        <v>0</v>
      </c>
      <c r="U40" s="5">
        <f ca="1">'1RA SEGURIDAD PUBLICA'!S28</f>
        <v>0</v>
      </c>
    </row>
    <row r="41" spans="1:21" ht="39.75" customHeight="1">
      <c r="A41" s="30"/>
      <c r="B41" s="31"/>
      <c r="C41" s="5" t="s">
        <v>73</v>
      </c>
      <c r="D41" s="5">
        <f ca="1">'1RA SEGURIDAD PUBLICA'!B29</f>
        <v>1</v>
      </c>
      <c r="E41" s="5">
        <f>'1RA SEGURIDAD PUBLICA'!C29</f>
        <v>0</v>
      </c>
      <c r="F41" s="5" t="str">
        <f ca="1">'1RA SEGURIDAD PUBLICA'!D29</f>
        <v>ASCENDENTE</v>
      </c>
      <c r="G41" s="5" t="str">
        <f ca="1">'1RA SEGURIDAD PUBLICA'!E29</f>
        <v>BITACORA OPERATIVA</v>
      </c>
      <c r="H41" s="5">
        <f ca="1">'1RA SEGURIDAD PUBLICA'!F29</f>
        <v>0</v>
      </c>
      <c r="I41" s="5">
        <f ca="1">'1RA SEGURIDAD PUBLICA'!G29</f>
        <v>0</v>
      </c>
      <c r="J41" s="5">
        <f ca="1">'1RA SEGURIDAD PUBLICA'!H29</f>
        <v>0</v>
      </c>
      <c r="K41" s="5">
        <f ca="1">'1RA SEGURIDAD PUBLICA'!I29</f>
        <v>0</v>
      </c>
      <c r="L41" s="5">
        <f ca="1">'1RA SEGURIDAD PUBLICA'!J29</f>
        <v>0</v>
      </c>
      <c r="M41" s="5">
        <f ca="1">'1RA SEGURIDAD PUBLICA'!K29</f>
        <v>0</v>
      </c>
      <c r="N41" s="5">
        <f ca="1">'1RA SEGURIDAD PUBLICA'!L29</f>
        <v>0</v>
      </c>
      <c r="O41" s="5">
        <f ca="1">'1RA SEGURIDAD PUBLICA'!M29</f>
        <v>0</v>
      </c>
      <c r="P41" s="5">
        <f ca="1">'1RA SEGURIDAD PUBLICA'!N29</f>
        <v>0</v>
      </c>
      <c r="Q41" s="5">
        <f ca="1">'1RA SEGURIDAD PUBLICA'!O29</f>
        <v>0</v>
      </c>
      <c r="R41" s="5">
        <f ca="1">'1RA SEGURIDAD PUBLICA'!P29</f>
        <v>0</v>
      </c>
      <c r="S41" s="5">
        <f ca="1">'1RA SEGURIDAD PUBLICA'!Q29</f>
        <v>0</v>
      </c>
      <c r="T41" s="5">
        <f ca="1">'1RA SEGURIDAD PUBLICA'!R29</f>
        <v>0</v>
      </c>
      <c r="U41" s="5">
        <f ca="1">'1RA SEGURIDAD PUBLICA'!S29</f>
        <v>0</v>
      </c>
    </row>
    <row r="42" spans="1:21" ht="39.75" customHeight="1">
      <c r="A42" s="30"/>
      <c r="B42" s="32" t="s">
        <v>74</v>
      </c>
      <c r="C42" s="5" t="s">
        <v>75</v>
      </c>
      <c r="D42" s="5">
        <f ca="1">'1RA SEGURIDAD PUBLICA'!B30</f>
        <v>1</v>
      </c>
      <c r="E42" s="5">
        <f>'1RA SEGURIDAD PUBLICA'!C30</f>
        <v>0</v>
      </c>
      <c r="F42" s="5" t="str">
        <f ca="1">'1RA SEGURIDAD PUBLICA'!D30</f>
        <v>ASCENDENTE</v>
      </c>
      <c r="G42" s="5" t="str">
        <f ca="1">'1RA SEGURIDAD PUBLICA'!E30</f>
        <v>BITACORA OPERATIVA</v>
      </c>
      <c r="H42" s="5">
        <f ca="1">'1RA SEGURIDAD PUBLICA'!F30</f>
        <v>0</v>
      </c>
      <c r="I42" s="5">
        <f ca="1">'1RA SEGURIDAD PUBLICA'!G30</f>
        <v>0</v>
      </c>
      <c r="J42" s="5">
        <f ca="1">'1RA SEGURIDAD PUBLICA'!H30</f>
        <v>0</v>
      </c>
      <c r="K42" s="5">
        <f ca="1">'1RA SEGURIDAD PUBLICA'!I30</f>
        <v>0</v>
      </c>
      <c r="L42" s="5">
        <f ca="1">'1RA SEGURIDAD PUBLICA'!J30</f>
        <v>0</v>
      </c>
      <c r="M42" s="5">
        <f ca="1">'1RA SEGURIDAD PUBLICA'!K30</f>
        <v>0</v>
      </c>
      <c r="N42" s="5">
        <f ca="1">'1RA SEGURIDAD PUBLICA'!L30</f>
        <v>0</v>
      </c>
      <c r="O42" s="5">
        <f ca="1">'1RA SEGURIDAD PUBLICA'!M30</f>
        <v>0</v>
      </c>
      <c r="P42" s="5">
        <f ca="1">'1RA SEGURIDAD PUBLICA'!N30</f>
        <v>0</v>
      </c>
      <c r="Q42" s="5">
        <f ca="1">'1RA SEGURIDAD PUBLICA'!O30</f>
        <v>0</v>
      </c>
      <c r="R42" s="5">
        <f ca="1">'1RA SEGURIDAD PUBLICA'!P30</f>
        <v>0</v>
      </c>
      <c r="S42" s="5">
        <f ca="1">'1RA SEGURIDAD PUBLICA'!Q30</f>
        <v>0</v>
      </c>
      <c r="T42" s="5">
        <f ca="1">'1RA SEGURIDAD PUBLICA'!R30</f>
        <v>0</v>
      </c>
      <c r="U42" s="5">
        <f ca="1">'1RA SEGURIDAD PUBLICA'!S30</f>
        <v>0</v>
      </c>
    </row>
    <row r="43" spans="1:21" ht="39.75" customHeight="1">
      <c r="A43" s="30"/>
      <c r="B43" s="30"/>
      <c r="C43" s="5" t="s">
        <v>76</v>
      </c>
      <c r="D43" s="5">
        <f ca="1">'1RA SEGURIDAD PUBLICA'!B31</f>
        <v>1</v>
      </c>
      <c r="E43" s="5">
        <f>'1RA SEGURIDAD PUBLICA'!C31</f>
        <v>0</v>
      </c>
      <c r="F43" s="5" t="str">
        <f ca="1">'1RA SEGURIDAD PUBLICA'!D31</f>
        <v>ASCENDENTE</v>
      </c>
      <c r="G43" s="5" t="str">
        <f ca="1">'1RA SEGURIDAD PUBLICA'!E31</f>
        <v>BITACORA OPERATIVA</v>
      </c>
      <c r="H43" s="5">
        <f ca="1">'1RA SEGURIDAD PUBLICA'!F31</f>
        <v>0</v>
      </c>
      <c r="I43" s="5">
        <f ca="1">'1RA SEGURIDAD PUBLICA'!G31</f>
        <v>0</v>
      </c>
      <c r="J43" s="5">
        <f ca="1">'1RA SEGURIDAD PUBLICA'!H31</f>
        <v>0</v>
      </c>
      <c r="K43" s="5">
        <f ca="1">'1RA SEGURIDAD PUBLICA'!I31</f>
        <v>0</v>
      </c>
      <c r="L43" s="5">
        <f ca="1">'1RA SEGURIDAD PUBLICA'!J31</f>
        <v>5</v>
      </c>
      <c r="M43" s="5">
        <f ca="1">'1RA SEGURIDAD PUBLICA'!K31</f>
        <v>9</v>
      </c>
      <c r="N43" s="5">
        <f ca="1">'1RA SEGURIDAD PUBLICA'!L31</f>
        <v>12</v>
      </c>
      <c r="O43" s="5">
        <f ca="1">'1RA SEGURIDAD PUBLICA'!M31</f>
        <v>0</v>
      </c>
      <c r="P43" s="5">
        <f ca="1">'1RA SEGURIDAD PUBLICA'!N31</f>
        <v>0</v>
      </c>
      <c r="Q43" s="5">
        <f ca="1">'1RA SEGURIDAD PUBLICA'!O31</f>
        <v>0</v>
      </c>
      <c r="R43" s="5">
        <f ca="1">'1RA SEGURIDAD PUBLICA'!P31</f>
        <v>0</v>
      </c>
      <c r="S43" s="5">
        <f ca="1">'1RA SEGURIDAD PUBLICA'!Q31</f>
        <v>0</v>
      </c>
      <c r="T43" s="5">
        <f ca="1">'1RA SEGURIDAD PUBLICA'!R31</f>
        <v>0</v>
      </c>
      <c r="U43" s="5">
        <f ca="1">'1RA SEGURIDAD PUBLICA'!S31</f>
        <v>26</v>
      </c>
    </row>
    <row r="44" spans="1:21" ht="39.75" customHeight="1">
      <c r="A44" s="30"/>
      <c r="B44" s="31"/>
      <c r="C44" s="5" t="s">
        <v>77</v>
      </c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</row>
    <row r="45" spans="1:21" ht="39.75" customHeight="1">
      <c r="A45" s="30"/>
      <c r="B45" s="32" t="s">
        <v>78</v>
      </c>
      <c r="C45" s="5" t="s">
        <v>79</v>
      </c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</row>
    <row r="46" spans="1:21" ht="39.75" customHeight="1">
      <c r="A46" s="30"/>
      <c r="B46" s="30"/>
      <c r="C46" s="5" t="s">
        <v>80</v>
      </c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</row>
    <row r="47" spans="1:21" ht="39.75" customHeight="1">
      <c r="A47" s="30"/>
      <c r="B47" s="30"/>
      <c r="C47" s="5" t="s">
        <v>77</v>
      </c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</row>
    <row r="48" spans="1:21" ht="39.75" customHeight="1">
      <c r="A48" s="30"/>
      <c r="B48" s="30"/>
      <c r="C48" s="5" t="s">
        <v>81</v>
      </c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</row>
    <row r="49" spans="1:21" ht="39.75" customHeight="1">
      <c r="A49" s="30"/>
      <c r="B49" s="31"/>
      <c r="C49" s="5" t="s">
        <v>82</v>
      </c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</row>
    <row r="50" spans="1:21" ht="39.75" customHeight="1">
      <c r="A50" s="30"/>
      <c r="B50" s="32" t="s">
        <v>83</v>
      </c>
      <c r="C50" s="5" t="s">
        <v>84</v>
      </c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</row>
    <row r="51" spans="1:21" ht="39.75" customHeight="1">
      <c r="A51" s="30"/>
      <c r="B51" s="30"/>
      <c r="C51" s="5" t="s">
        <v>72</v>
      </c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</row>
    <row r="52" spans="1:21" ht="39.75" customHeight="1">
      <c r="A52" s="31"/>
      <c r="B52" s="31"/>
      <c r="C52" s="5" t="s">
        <v>85</v>
      </c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</row>
    <row r="53" spans="1:21" ht="39.75" customHeight="1">
      <c r="A53" s="32" t="s">
        <v>86</v>
      </c>
      <c r="B53" s="32" t="s">
        <v>87</v>
      </c>
      <c r="C53" s="5" t="s">
        <v>88</v>
      </c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</row>
    <row r="54" spans="1:21" ht="39.75" customHeight="1">
      <c r="A54" s="30"/>
      <c r="B54" s="30"/>
      <c r="C54" s="5" t="s">
        <v>89</v>
      </c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</row>
    <row r="55" spans="1:21" ht="39.75" customHeight="1">
      <c r="A55" s="30"/>
      <c r="B55" s="30"/>
      <c r="C55" s="5" t="s">
        <v>90</v>
      </c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</row>
    <row r="56" spans="1:21" ht="39.75" customHeight="1">
      <c r="A56" s="30"/>
      <c r="B56" s="31"/>
      <c r="C56" s="5" t="s">
        <v>91</v>
      </c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</row>
    <row r="57" spans="1:21" ht="39.75" customHeight="1">
      <c r="A57" s="30"/>
      <c r="B57" s="33" t="s">
        <v>92</v>
      </c>
      <c r="C57" s="5" t="s">
        <v>93</v>
      </c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</row>
    <row r="58" spans="1:21" ht="39.75" customHeight="1">
      <c r="A58" s="30"/>
      <c r="B58" s="30"/>
      <c r="C58" s="9" t="s">
        <v>94</v>
      </c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</row>
    <row r="59" spans="1:21" ht="39.75" customHeight="1">
      <c r="A59" s="30"/>
      <c r="B59" s="30"/>
      <c r="C59" s="9" t="s">
        <v>95</v>
      </c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</row>
    <row r="60" spans="1:21" ht="39.75" customHeight="1">
      <c r="A60" s="30"/>
      <c r="B60" s="30"/>
      <c r="C60" s="9" t="s">
        <v>96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</row>
    <row r="61" spans="1:21" ht="39.75" customHeight="1">
      <c r="A61" s="30"/>
      <c r="B61" s="30"/>
      <c r="C61" s="9" t="s">
        <v>97</v>
      </c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</row>
    <row r="62" spans="1:21" ht="39.75" customHeight="1">
      <c r="A62" s="30"/>
      <c r="B62" s="31"/>
      <c r="C62" s="9" t="s">
        <v>98</v>
      </c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</row>
    <row r="63" spans="1:21" ht="39.75" customHeight="1">
      <c r="A63" s="30"/>
      <c r="B63" s="33" t="s">
        <v>99</v>
      </c>
      <c r="C63" s="9" t="s">
        <v>100</v>
      </c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</row>
    <row r="64" spans="1:21" ht="39.75" customHeight="1">
      <c r="A64" s="30"/>
      <c r="B64" s="30"/>
      <c r="C64" s="9" t="s">
        <v>101</v>
      </c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</row>
    <row r="65" spans="1:21" ht="39.75" customHeight="1">
      <c r="A65" s="30"/>
      <c r="B65" s="30"/>
      <c r="C65" s="9" t="s">
        <v>102</v>
      </c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</row>
    <row r="66" spans="1:21" ht="39.75" customHeight="1">
      <c r="A66" s="30"/>
      <c r="B66" s="31"/>
      <c r="C66" s="9" t="s">
        <v>103</v>
      </c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</row>
    <row r="67" spans="1:21" ht="39.75" customHeight="1">
      <c r="A67" s="30"/>
      <c r="B67" s="15" t="s">
        <v>104</v>
      </c>
      <c r="C67" s="9" t="s">
        <v>105</v>
      </c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</row>
    <row r="68" spans="1:21" ht="39.75" customHeight="1">
      <c r="A68" s="30"/>
      <c r="B68" s="33" t="s">
        <v>106</v>
      </c>
      <c r="C68" s="9" t="s">
        <v>107</v>
      </c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</row>
    <row r="69" spans="1:21" ht="39.75" customHeight="1">
      <c r="A69" s="30"/>
      <c r="B69" s="30"/>
      <c r="C69" s="9" t="s">
        <v>108</v>
      </c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</row>
    <row r="70" spans="1:21" ht="39.75" customHeight="1">
      <c r="A70" s="30"/>
      <c r="B70" s="30"/>
      <c r="C70" s="9" t="s">
        <v>57</v>
      </c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</row>
    <row r="71" spans="1:21" ht="39.75" customHeight="1">
      <c r="A71" s="30"/>
      <c r="B71" s="30"/>
      <c r="C71" s="9" t="s">
        <v>109</v>
      </c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</row>
    <row r="72" spans="1:21" ht="39.75" customHeight="1">
      <c r="A72" s="30"/>
      <c r="B72" s="30"/>
      <c r="C72" s="9" t="s">
        <v>110</v>
      </c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</row>
    <row r="73" spans="1:21" ht="39.75" customHeight="1">
      <c r="A73" s="30"/>
      <c r="B73" s="30"/>
      <c r="C73" s="9" t="s">
        <v>111</v>
      </c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</row>
    <row r="74" spans="1:21" ht="39.75" customHeight="1">
      <c r="A74" s="30"/>
      <c r="B74" s="30"/>
      <c r="C74" s="9" t="s">
        <v>112</v>
      </c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</row>
    <row r="75" spans="1:21" ht="39.75" customHeight="1">
      <c r="A75" s="30"/>
      <c r="B75" s="30"/>
      <c r="C75" s="9" t="s">
        <v>113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</row>
    <row r="76" spans="1:21" ht="39.75" customHeight="1">
      <c r="A76" s="30"/>
      <c r="B76" s="30"/>
      <c r="C76" s="9" t="s">
        <v>114</v>
      </c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</row>
    <row r="77" spans="1:21" ht="39.75" customHeight="1">
      <c r="A77" s="31"/>
      <c r="B77" s="31"/>
      <c r="C77" s="9" t="s">
        <v>115</v>
      </c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</row>
    <row r="78" spans="1:21" ht="39.75" customHeight="1">
      <c r="A78" s="32" t="s">
        <v>116</v>
      </c>
      <c r="B78" s="32" t="s">
        <v>117</v>
      </c>
      <c r="C78" s="5" t="s">
        <v>118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</row>
    <row r="79" spans="1:21" ht="39.75" customHeight="1">
      <c r="A79" s="30"/>
      <c r="B79" s="30"/>
      <c r="C79" s="5" t="s">
        <v>119</v>
      </c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</row>
    <row r="80" spans="1:21" ht="39.75" customHeight="1">
      <c r="A80" s="30"/>
      <c r="B80" s="30"/>
      <c r="C80" s="5" t="s">
        <v>120</v>
      </c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</row>
    <row r="81" spans="1:21" ht="39.75" customHeight="1">
      <c r="A81" s="30"/>
      <c r="B81" s="30"/>
      <c r="C81" s="5" t="s">
        <v>121</v>
      </c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</row>
    <row r="82" spans="1:21" ht="39.75" customHeight="1">
      <c r="A82" s="30"/>
      <c r="B82" s="30"/>
      <c r="C82" s="5" t="s">
        <v>122</v>
      </c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</row>
    <row r="83" spans="1:21" ht="39.75" customHeight="1">
      <c r="A83" s="30"/>
      <c r="B83" s="30"/>
      <c r="C83" s="5" t="s">
        <v>123</v>
      </c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</row>
    <row r="84" spans="1:21" ht="39.75" customHeight="1">
      <c r="A84" s="30"/>
      <c r="B84" s="30"/>
      <c r="C84" s="5" t="s">
        <v>124</v>
      </c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</row>
    <row r="85" spans="1:21" ht="39.75" customHeight="1">
      <c r="A85" s="30"/>
      <c r="B85" s="31"/>
      <c r="C85" s="5" t="s">
        <v>125</v>
      </c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</row>
    <row r="86" spans="1:21" ht="39.75" customHeight="1">
      <c r="A86" s="30"/>
      <c r="B86" s="32" t="s">
        <v>126</v>
      </c>
      <c r="C86" s="5" t="s">
        <v>127</v>
      </c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</row>
    <row r="87" spans="1:21" ht="39.75" customHeight="1">
      <c r="A87" s="30"/>
      <c r="B87" s="30"/>
      <c r="C87" s="5" t="s">
        <v>128</v>
      </c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</row>
    <row r="88" spans="1:21" ht="39.75" customHeight="1">
      <c r="A88" s="30"/>
      <c r="B88" s="30"/>
      <c r="C88" s="5" t="s">
        <v>129</v>
      </c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</row>
    <row r="89" spans="1:21" ht="39.75" customHeight="1">
      <c r="A89" s="30"/>
      <c r="B89" s="30"/>
      <c r="C89" s="5" t="s">
        <v>130</v>
      </c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</row>
    <row r="90" spans="1:21" ht="39.75" customHeight="1">
      <c r="A90" s="30"/>
      <c r="B90" s="31"/>
      <c r="C90" s="5" t="s">
        <v>131</v>
      </c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</row>
    <row r="91" spans="1:21" ht="39.75" customHeight="1">
      <c r="A91" s="30"/>
      <c r="B91" s="32" t="s">
        <v>132</v>
      </c>
      <c r="C91" s="5" t="s">
        <v>133</v>
      </c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</row>
    <row r="92" spans="1:21" ht="39.75" customHeight="1">
      <c r="A92" s="30"/>
      <c r="B92" s="30"/>
      <c r="C92" s="5" t="s">
        <v>134</v>
      </c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</row>
    <row r="93" spans="1:21" ht="39.75" customHeight="1">
      <c r="A93" s="30"/>
      <c r="B93" s="30"/>
      <c r="C93" s="5" t="s">
        <v>135</v>
      </c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</row>
    <row r="94" spans="1:21" ht="39.75" customHeight="1">
      <c r="A94" s="30"/>
      <c r="B94" s="30"/>
      <c r="C94" s="5" t="s">
        <v>136</v>
      </c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</row>
    <row r="95" spans="1:21" ht="39.75" customHeight="1">
      <c r="A95" s="31"/>
      <c r="B95" s="31"/>
      <c r="C95" s="5" t="s">
        <v>137</v>
      </c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</row>
    <row r="96" spans="1:21" ht="39.75" customHeight="1">
      <c r="A96" s="32" t="s">
        <v>138</v>
      </c>
      <c r="B96" s="32" t="s">
        <v>139</v>
      </c>
      <c r="C96" s="5" t="s">
        <v>140</v>
      </c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</row>
    <row r="97" spans="1:21" ht="39.75" customHeight="1">
      <c r="A97" s="30"/>
      <c r="B97" s="30"/>
      <c r="C97" s="5" t="s">
        <v>141</v>
      </c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</row>
    <row r="98" spans="1:21" ht="39.75" customHeight="1">
      <c r="A98" s="30"/>
      <c r="B98" s="30"/>
      <c r="C98" s="5" t="s">
        <v>142</v>
      </c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</row>
    <row r="99" spans="1:21" ht="39.75" customHeight="1">
      <c r="A99" s="30"/>
      <c r="B99" s="31"/>
      <c r="C99" s="5" t="s">
        <v>143</v>
      </c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</row>
    <row r="100" spans="1:21" ht="39.75" customHeight="1">
      <c r="A100" s="30"/>
      <c r="B100" s="32" t="s">
        <v>144</v>
      </c>
      <c r="C100" s="5" t="s">
        <v>145</v>
      </c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</row>
    <row r="101" spans="1:21" ht="39.75" customHeight="1">
      <c r="A101" s="30"/>
      <c r="B101" s="30"/>
      <c r="C101" s="5" t="s">
        <v>146</v>
      </c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</row>
    <row r="102" spans="1:21" ht="39.75" customHeight="1">
      <c r="A102" s="30"/>
      <c r="B102" s="30"/>
      <c r="C102" s="5" t="s">
        <v>147</v>
      </c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</row>
    <row r="103" spans="1:21" ht="39.75" customHeight="1">
      <c r="A103" s="30"/>
      <c r="B103" s="30"/>
      <c r="C103" s="5" t="s">
        <v>148</v>
      </c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</row>
    <row r="104" spans="1:21" ht="39.75" customHeight="1">
      <c r="A104" s="30"/>
      <c r="B104" s="30"/>
      <c r="C104" s="5" t="s">
        <v>149</v>
      </c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</row>
    <row r="105" spans="1:21" ht="39.75" customHeight="1">
      <c r="A105" s="30"/>
      <c r="B105" s="30"/>
      <c r="C105" s="5" t="s">
        <v>150</v>
      </c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</row>
    <row r="106" spans="1:21" ht="39.75" customHeight="1">
      <c r="A106" s="30"/>
      <c r="B106" s="30"/>
      <c r="C106" s="5" t="s">
        <v>151</v>
      </c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</row>
    <row r="107" spans="1:21" ht="39.75" customHeight="1">
      <c r="A107" s="30"/>
      <c r="B107" s="30"/>
      <c r="C107" s="5" t="s">
        <v>152</v>
      </c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</row>
    <row r="108" spans="1:21" ht="39.75" customHeight="1">
      <c r="A108" s="30"/>
      <c r="B108" s="30"/>
      <c r="C108" s="5" t="s">
        <v>153</v>
      </c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</row>
    <row r="109" spans="1:21" ht="39.75" customHeight="1">
      <c r="A109" s="30"/>
      <c r="B109" s="30"/>
      <c r="C109" s="5" t="s">
        <v>154</v>
      </c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</row>
    <row r="110" spans="1:21" ht="39.75" customHeight="1">
      <c r="A110" s="30"/>
      <c r="B110" s="30"/>
      <c r="C110" s="5" t="s">
        <v>155</v>
      </c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</row>
    <row r="111" spans="1:21" ht="39.75" customHeight="1">
      <c r="A111" s="30"/>
      <c r="B111" s="30"/>
      <c r="C111" s="5" t="s">
        <v>156</v>
      </c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</row>
    <row r="112" spans="1:21" ht="39.75" customHeight="1">
      <c r="A112" s="30"/>
      <c r="B112" s="30"/>
      <c r="C112" s="5" t="s">
        <v>157</v>
      </c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</row>
    <row r="113" spans="1:21" ht="39.75" customHeight="1">
      <c r="A113" s="30"/>
      <c r="B113" s="30"/>
      <c r="C113" s="5" t="s">
        <v>158</v>
      </c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</row>
    <row r="114" spans="1:21" ht="39.75" customHeight="1">
      <c r="A114" s="30"/>
      <c r="B114" s="30"/>
      <c r="C114" s="5" t="s">
        <v>159</v>
      </c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</row>
    <row r="115" spans="1:21" ht="39.75" customHeight="1">
      <c r="A115" s="30"/>
      <c r="B115" s="30"/>
      <c r="C115" s="5" t="s">
        <v>160</v>
      </c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</row>
    <row r="116" spans="1:21" ht="39.75" customHeight="1">
      <c r="A116" s="30"/>
      <c r="B116" s="30"/>
      <c r="C116" s="5" t="s">
        <v>161</v>
      </c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</row>
    <row r="117" spans="1:21" ht="39.75" customHeight="1">
      <c r="A117" s="30"/>
      <c r="B117" s="30"/>
      <c r="C117" s="5" t="s">
        <v>162</v>
      </c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</row>
    <row r="118" spans="1:21" ht="39.75" customHeight="1">
      <c r="A118" s="30"/>
      <c r="B118" s="31"/>
      <c r="C118" s="5" t="s">
        <v>163</v>
      </c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</row>
    <row r="119" spans="1:21" ht="39.75" customHeight="1">
      <c r="A119" s="30"/>
      <c r="B119" s="32" t="s">
        <v>164</v>
      </c>
      <c r="C119" s="5" t="s">
        <v>165</v>
      </c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</row>
    <row r="120" spans="1:21" ht="39.75" customHeight="1">
      <c r="A120" s="30"/>
      <c r="B120" s="30"/>
      <c r="C120" s="5" t="s">
        <v>166</v>
      </c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</row>
    <row r="121" spans="1:21" ht="39.75" customHeight="1">
      <c r="A121" s="30"/>
      <c r="B121" s="30"/>
      <c r="C121" s="5" t="s">
        <v>167</v>
      </c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</row>
    <row r="122" spans="1:21" ht="39.75" customHeight="1">
      <c r="A122" s="30"/>
      <c r="B122" s="30"/>
      <c r="C122" s="5" t="s">
        <v>168</v>
      </c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</row>
    <row r="123" spans="1:21" ht="39.75" customHeight="1">
      <c r="A123" s="30"/>
      <c r="B123" s="30"/>
      <c r="C123" s="5" t="s">
        <v>169</v>
      </c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</row>
    <row r="124" spans="1:21" ht="39.75" customHeight="1">
      <c r="A124" s="30"/>
      <c r="B124" s="30"/>
      <c r="C124" s="5" t="s">
        <v>170</v>
      </c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</row>
    <row r="125" spans="1:21" ht="39.75" customHeight="1">
      <c r="A125" s="30"/>
      <c r="B125" s="30"/>
      <c r="C125" s="5" t="s">
        <v>171</v>
      </c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</row>
    <row r="126" spans="1:21" ht="39.75" customHeight="1">
      <c r="A126" s="30"/>
      <c r="B126" s="30"/>
      <c r="C126" s="5" t="s">
        <v>166</v>
      </c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</row>
    <row r="127" spans="1:21" ht="39.75" customHeight="1">
      <c r="A127" s="30"/>
      <c r="B127" s="30"/>
      <c r="C127" s="5" t="s">
        <v>167</v>
      </c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</row>
    <row r="128" spans="1:21" ht="39.75" customHeight="1">
      <c r="A128" s="30"/>
      <c r="B128" s="30"/>
      <c r="C128" s="5" t="s">
        <v>172</v>
      </c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</row>
    <row r="129" spans="1:21" ht="39.75" customHeight="1">
      <c r="A129" s="30"/>
      <c r="B129" s="30"/>
      <c r="C129" s="5" t="s">
        <v>166</v>
      </c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</row>
    <row r="130" spans="1:21" ht="39.75" customHeight="1">
      <c r="A130" s="30"/>
      <c r="B130" s="31"/>
      <c r="C130" s="5" t="s">
        <v>167</v>
      </c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</row>
    <row r="131" spans="1:21" ht="39.75" customHeight="1">
      <c r="A131" s="30"/>
      <c r="B131" s="32" t="s">
        <v>173</v>
      </c>
      <c r="C131" s="5" t="s">
        <v>174</v>
      </c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</row>
    <row r="132" spans="1:21" ht="39.75" customHeight="1">
      <c r="A132" s="30"/>
      <c r="B132" s="30"/>
      <c r="C132" s="5" t="s">
        <v>175</v>
      </c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</row>
    <row r="133" spans="1:21" ht="39.75" customHeight="1">
      <c r="A133" s="30"/>
      <c r="B133" s="30"/>
      <c r="C133" s="5" t="s">
        <v>176</v>
      </c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</row>
    <row r="134" spans="1:21" ht="39.75" customHeight="1">
      <c r="A134" s="30"/>
      <c r="B134" s="30"/>
      <c r="C134" s="5" t="s">
        <v>177</v>
      </c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</row>
    <row r="135" spans="1:21" ht="39.75" customHeight="1">
      <c r="A135" s="30"/>
      <c r="B135" s="30"/>
      <c r="C135" s="5" t="s">
        <v>178</v>
      </c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</row>
    <row r="136" spans="1:21" ht="39.75" customHeight="1">
      <c r="A136" s="30"/>
      <c r="B136" s="30"/>
      <c r="C136" s="5" t="s">
        <v>176</v>
      </c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</row>
    <row r="137" spans="1:21" ht="39.75" customHeight="1">
      <c r="A137" s="30"/>
      <c r="B137" s="30"/>
      <c r="C137" s="5" t="s">
        <v>177</v>
      </c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</row>
    <row r="138" spans="1:21" ht="39.75" customHeight="1">
      <c r="A138" s="30"/>
      <c r="B138" s="30"/>
      <c r="C138" s="5" t="s">
        <v>179</v>
      </c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</row>
    <row r="139" spans="1:21" ht="39.75" customHeight="1">
      <c r="A139" s="30"/>
      <c r="B139" s="30"/>
      <c r="C139" s="5" t="s">
        <v>176</v>
      </c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</row>
    <row r="140" spans="1:21" ht="39.75" customHeight="1">
      <c r="A140" s="30"/>
      <c r="B140" s="30"/>
      <c r="C140" s="5" t="s">
        <v>177</v>
      </c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</row>
    <row r="141" spans="1:21" ht="39.75" customHeight="1">
      <c r="A141" s="30"/>
      <c r="B141" s="30"/>
      <c r="C141" s="5" t="s">
        <v>180</v>
      </c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</row>
    <row r="142" spans="1:21" ht="39.75" customHeight="1">
      <c r="A142" s="30"/>
      <c r="B142" s="30"/>
      <c r="C142" s="5" t="s">
        <v>176</v>
      </c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</row>
    <row r="143" spans="1:21" ht="39.75" customHeight="1">
      <c r="A143" s="30"/>
      <c r="B143" s="30"/>
      <c r="C143" s="5" t="s">
        <v>177</v>
      </c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</row>
    <row r="144" spans="1:21" ht="39.75" customHeight="1">
      <c r="A144" s="30"/>
      <c r="B144" s="30"/>
      <c r="C144" s="5" t="s">
        <v>181</v>
      </c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</row>
    <row r="145" spans="1:21" ht="39.75" customHeight="1">
      <c r="A145" s="30"/>
      <c r="B145" s="30"/>
      <c r="C145" s="5" t="s">
        <v>182</v>
      </c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</row>
    <row r="146" spans="1:21" ht="39.75" customHeight="1">
      <c r="A146" s="30"/>
      <c r="B146" s="30"/>
      <c r="C146" s="5" t="s">
        <v>183</v>
      </c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</row>
    <row r="147" spans="1:21" ht="39.75" customHeight="1">
      <c r="A147" s="30"/>
      <c r="B147" s="30"/>
      <c r="C147" s="5" t="s">
        <v>176</v>
      </c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</row>
    <row r="148" spans="1:21" ht="39.75" customHeight="1">
      <c r="A148" s="30"/>
      <c r="B148" s="30"/>
      <c r="C148" s="5" t="s">
        <v>184</v>
      </c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</row>
    <row r="149" spans="1:21" ht="39.75" customHeight="1">
      <c r="A149" s="30"/>
      <c r="B149" s="30"/>
      <c r="C149" s="5" t="s">
        <v>185</v>
      </c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</row>
    <row r="150" spans="1:21" ht="39.75" customHeight="1">
      <c r="A150" s="30"/>
      <c r="B150" s="31"/>
      <c r="C150" s="5" t="s">
        <v>186</v>
      </c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</row>
    <row r="151" spans="1:21" ht="39.75" customHeight="1">
      <c r="A151" s="30"/>
      <c r="B151" s="32" t="s">
        <v>187</v>
      </c>
      <c r="C151" s="5" t="s">
        <v>188</v>
      </c>
      <c r="D151" s="5"/>
      <c r="E151" s="5"/>
      <c r="F151" s="5"/>
      <c r="G151" s="5"/>
      <c r="H151" s="5"/>
      <c r="I151" s="5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</row>
    <row r="152" spans="1:21" ht="39.75" customHeight="1">
      <c r="A152" s="30"/>
      <c r="B152" s="30"/>
      <c r="C152" s="5" t="s">
        <v>189</v>
      </c>
      <c r="D152" s="5"/>
      <c r="E152" s="5"/>
      <c r="F152" s="5"/>
      <c r="G152" s="5"/>
      <c r="H152" s="5"/>
      <c r="I152" s="5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</row>
    <row r="153" spans="1:21" ht="39.75" customHeight="1">
      <c r="A153" s="30"/>
      <c r="B153" s="30"/>
      <c r="C153" s="5" t="s">
        <v>190</v>
      </c>
      <c r="D153" s="5"/>
      <c r="E153" s="5"/>
      <c r="F153" s="5"/>
      <c r="G153" s="5"/>
      <c r="H153" s="5"/>
      <c r="I153" s="5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</row>
    <row r="154" spans="1:21" ht="39.75" customHeight="1">
      <c r="A154" s="30"/>
      <c r="B154" s="30"/>
      <c r="C154" s="5" t="s">
        <v>191</v>
      </c>
      <c r="D154" s="5"/>
      <c r="E154" s="5"/>
      <c r="F154" s="5"/>
      <c r="G154" s="5"/>
      <c r="H154" s="5"/>
      <c r="I154" s="5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</row>
    <row r="155" spans="1:21" ht="39.75" customHeight="1">
      <c r="A155" s="30"/>
      <c r="B155" s="30"/>
      <c r="C155" s="5" t="s">
        <v>192</v>
      </c>
      <c r="D155" s="5"/>
      <c r="E155" s="5"/>
      <c r="F155" s="5"/>
      <c r="G155" s="5"/>
      <c r="H155" s="5"/>
      <c r="I155" s="5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</row>
    <row r="156" spans="1:21" ht="39.75" customHeight="1">
      <c r="A156" s="30"/>
      <c r="B156" s="30"/>
      <c r="C156" s="5" t="s">
        <v>193</v>
      </c>
      <c r="D156" s="5"/>
      <c r="E156" s="5"/>
      <c r="F156" s="5"/>
      <c r="G156" s="5"/>
      <c r="H156" s="5"/>
      <c r="I156" s="5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</row>
    <row r="157" spans="1:21" ht="39.75" customHeight="1">
      <c r="A157" s="30"/>
      <c r="B157" s="30"/>
      <c r="C157" s="5" t="s">
        <v>194</v>
      </c>
      <c r="D157" s="5"/>
      <c r="E157" s="5"/>
      <c r="F157" s="5"/>
      <c r="G157" s="5"/>
      <c r="H157" s="5"/>
      <c r="I157" s="5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</row>
    <row r="158" spans="1:21" ht="39.75" customHeight="1">
      <c r="A158" s="30"/>
      <c r="B158" s="30"/>
      <c r="C158" s="5" t="s">
        <v>195</v>
      </c>
      <c r="D158" s="5"/>
      <c r="E158" s="5"/>
      <c r="F158" s="5"/>
      <c r="G158" s="5"/>
      <c r="H158" s="5"/>
      <c r="I158" s="5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</row>
    <row r="159" spans="1:21" ht="39.75" customHeight="1">
      <c r="A159" s="30"/>
      <c r="B159" s="30"/>
      <c r="C159" s="5" t="s">
        <v>196</v>
      </c>
      <c r="D159" s="5"/>
      <c r="E159" s="5"/>
      <c r="F159" s="5"/>
      <c r="G159" s="5"/>
      <c r="H159" s="5"/>
      <c r="I159" s="5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</row>
    <row r="160" spans="1:21" ht="39.75" customHeight="1">
      <c r="A160" s="30"/>
      <c r="B160" s="30"/>
      <c r="C160" s="5" t="s">
        <v>197</v>
      </c>
      <c r="D160" s="5"/>
      <c r="E160" s="5"/>
      <c r="F160" s="5"/>
      <c r="G160" s="5"/>
      <c r="H160" s="5"/>
      <c r="I160" s="5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</row>
    <row r="161" spans="1:21" ht="39.75" customHeight="1">
      <c r="A161" s="30"/>
      <c r="B161" s="30"/>
      <c r="C161" s="5" t="s">
        <v>198</v>
      </c>
      <c r="D161" s="5"/>
      <c r="E161" s="5"/>
      <c r="F161" s="5"/>
      <c r="G161" s="5"/>
      <c r="H161" s="5"/>
      <c r="I161" s="5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</row>
    <row r="162" spans="1:21" ht="39.75" customHeight="1">
      <c r="A162" s="30"/>
      <c r="B162" s="30"/>
      <c r="C162" s="5" t="s">
        <v>199</v>
      </c>
      <c r="D162" s="5"/>
      <c r="E162" s="5"/>
      <c r="F162" s="5"/>
      <c r="G162" s="5"/>
      <c r="H162" s="5"/>
      <c r="I162" s="5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</row>
    <row r="163" spans="1:21" ht="39.75" customHeight="1">
      <c r="A163" s="30"/>
      <c r="B163" s="30"/>
      <c r="C163" s="5" t="s">
        <v>200</v>
      </c>
      <c r="D163" s="5"/>
      <c r="E163" s="5"/>
      <c r="F163" s="5"/>
      <c r="G163" s="5"/>
      <c r="H163" s="5"/>
      <c r="I163" s="5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</row>
    <row r="164" spans="1:21" ht="39.75" customHeight="1">
      <c r="A164" s="30"/>
      <c r="B164" s="30"/>
      <c r="C164" s="5" t="s">
        <v>201</v>
      </c>
      <c r="D164" s="5"/>
      <c r="E164" s="5"/>
      <c r="F164" s="5"/>
      <c r="G164" s="5"/>
      <c r="H164" s="5"/>
      <c r="I164" s="5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</row>
    <row r="165" spans="1:21" ht="39.75" customHeight="1">
      <c r="A165" s="30"/>
      <c r="B165" s="30"/>
      <c r="C165" s="5" t="s">
        <v>202</v>
      </c>
      <c r="D165" s="5"/>
      <c r="E165" s="5"/>
      <c r="F165" s="5"/>
      <c r="G165" s="5"/>
      <c r="H165" s="5"/>
      <c r="I165" s="5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</row>
    <row r="166" spans="1:21" ht="39.75" customHeight="1">
      <c r="A166" s="30"/>
      <c r="B166" s="30"/>
      <c r="C166" s="5" t="s">
        <v>203</v>
      </c>
      <c r="D166" s="5"/>
      <c r="E166" s="5"/>
      <c r="F166" s="5"/>
      <c r="G166" s="5"/>
      <c r="H166" s="5"/>
      <c r="I166" s="5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</row>
    <row r="167" spans="1:21" ht="39.75" customHeight="1">
      <c r="A167" s="30"/>
      <c r="B167" s="30"/>
      <c r="C167" s="5" t="s">
        <v>204</v>
      </c>
      <c r="D167" s="5"/>
      <c r="E167" s="5"/>
      <c r="F167" s="5"/>
      <c r="G167" s="5"/>
      <c r="H167" s="5"/>
      <c r="I167" s="5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</row>
    <row r="168" spans="1:21" ht="39.75" customHeight="1">
      <c r="A168" s="30"/>
      <c r="B168" s="30"/>
      <c r="C168" s="5" t="s">
        <v>205</v>
      </c>
      <c r="D168" s="5"/>
      <c r="E168" s="5"/>
      <c r="F168" s="5"/>
      <c r="G168" s="5"/>
      <c r="H168" s="5"/>
      <c r="I168" s="5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</row>
    <row r="169" spans="1:21" ht="39.75" customHeight="1">
      <c r="A169" s="30"/>
      <c r="B169" s="30"/>
      <c r="C169" s="5" t="s">
        <v>206</v>
      </c>
      <c r="D169" s="5"/>
      <c r="E169" s="5"/>
      <c r="F169" s="5"/>
      <c r="G169" s="5"/>
      <c r="H169" s="5"/>
      <c r="I169" s="5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</row>
    <row r="170" spans="1:21" ht="39.75" customHeight="1">
      <c r="A170" s="30"/>
      <c r="B170" s="30"/>
      <c r="C170" s="5" t="s">
        <v>207</v>
      </c>
      <c r="D170" s="5"/>
      <c r="E170" s="5"/>
      <c r="F170" s="5"/>
      <c r="G170" s="5"/>
      <c r="H170" s="5"/>
      <c r="I170" s="5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</row>
    <row r="171" spans="1:21" ht="39.75" customHeight="1">
      <c r="A171" s="30"/>
      <c r="B171" s="30"/>
      <c r="C171" s="5" t="s">
        <v>208</v>
      </c>
      <c r="D171" s="5"/>
      <c r="E171" s="5"/>
      <c r="F171" s="5"/>
      <c r="G171" s="5"/>
      <c r="H171" s="5"/>
      <c r="I171" s="5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</row>
    <row r="172" spans="1:21" ht="39.75" customHeight="1">
      <c r="A172" s="30"/>
      <c r="B172" s="30"/>
      <c r="C172" s="5" t="s">
        <v>209</v>
      </c>
      <c r="D172" s="5"/>
      <c r="E172" s="5"/>
      <c r="F172" s="5"/>
      <c r="G172" s="5"/>
      <c r="H172" s="5"/>
      <c r="I172" s="5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</row>
    <row r="173" spans="1:21" ht="39.75" customHeight="1">
      <c r="A173" s="30"/>
      <c r="B173" s="30"/>
      <c r="C173" s="5" t="s">
        <v>210</v>
      </c>
      <c r="D173" s="5"/>
      <c r="E173" s="5"/>
      <c r="F173" s="5"/>
      <c r="G173" s="5"/>
      <c r="H173" s="5"/>
      <c r="I173" s="5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</row>
    <row r="174" spans="1:21" ht="39.75" customHeight="1">
      <c r="A174" s="30"/>
      <c r="B174" s="30"/>
      <c r="C174" s="5" t="s">
        <v>211</v>
      </c>
      <c r="D174" s="5"/>
      <c r="E174" s="5"/>
      <c r="F174" s="5"/>
      <c r="G174" s="5"/>
      <c r="H174" s="5"/>
      <c r="I174" s="5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</row>
    <row r="175" spans="1:21" ht="39.75" customHeight="1">
      <c r="A175" s="30"/>
      <c r="B175" s="30"/>
      <c r="C175" s="5" t="s">
        <v>212</v>
      </c>
      <c r="D175" s="5"/>
      <c r="E175" s="5"/>
      <c r="F175" s="5"/>
      <c r="G175" s="5"/>
      <c r="H175" s="5"/>
      <c r="I175" s="5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</row>
    <row r="176" spans="1:21" ht="39.75" customHeight="1">
      <c r="A176" s="30"/>
      <c r="B176" s="30"/>
      <c r="C176" s="5" t="s">
        <v>213</v>
      </c>
      <c r="D176" s="5"/>
      <c r="E176" s="5"/>
      <c r="F176" s="5"/>
      <c r="G176" s="5"/>
      <c r="H176" s="5"/>
      <c r="I176" s="5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</row>
    <row r="177" spans="1:21" ht="39.75" customHeight="1">
      <c r="A177" s="30"/>
      <c r="B177" s="30"/>
      <c r="C177" s="5" t="s">
        <v>214</v>
      </c>
      <c r="D177" s="5"/>
      <c r="E177" s="5"/>
      <c r="F177" s="5"/>
      <c r="G177" s="5"/>
      <c r="H177" s="5"/>
      <c r="I177" s="5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</row>
    <row r="178" spans="1:21" ht="39.75" customHeight="1">
      <c r="A178" s="30"/>
      <c r="B178" s="30"/>
      <c r="C178" s="5" t="s">
        <v>215</v>
      </c>
      <c r="D178" s="5"/>
      <c r="E178" s="5"/>
      <c r="F178" s="5"/>
      <c r="G178" s="5"/>
      <c r="H178" s="5"/>
      <c r="I178" s="5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</row>
    <row r="179" spans="1:21" ht="39.75" customHeight="1">
      <c r="A179" s="30"/>
      <c r="B179" s="30"/>
      <c r="C179" s="5" t="s">
        <v>216</v>
      </c>
      <c r="D179" s="5"/>
      <c r="E179" s="5"/>
      <c r="F179" s="5"/>
      <c r="G179" s="5"/>
      <c r="H179" s="5"/>
      <c r="I179" s="5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</row>
    <row r="180" spans="1:21" ht="39.75" customHeight="1">
      <c r="A180" s="30"/>
      <c r="B180" s="30"/>
      <c r="C180" s="5" t="s">
        <v>217</v>
      </c>
      <c r="D180" s="5"/>
      <c r="E180" s="5"/>
      <c r="F180" s="5"/>
      <c r="G180" s="5"/>
      <c r="H180" s="5"/>
      <c r="I180" s="5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</row>
    <row r="181" spans="1:21" ht="39.75" customHeight="1">
      <c r="A181" s="30"/>
      <c r="B181" s="30"/>
      <c r="C181" s="5" t="s">
        <v>218</v>
      </c>
      <c r="D181" s="5"/>
      <c r="E181" s="5"/>
      <c r="F181" s="5"/>
      <c r="G181" s="5"/>
      <c r="H181" s="5"/>
      <c r="I181" s="5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</row>
    <row r="182" spans="1:21" ht="39.75" customHeight="1">
      <c r="A182" s="30"/>
      <c r="B182" s="30"/>
      <c r="C182" s="5" t="s">
        <v>219</v>
      </c>
      <c r="D182" s="5"/>
      <c r="E182" s="5"/>
      <c r="F182" s="5"/>
      <c r="G182" s="5"/>
      <c r="H182" s="5"/>
      <c r="I182" s="5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</row>
    <row r="183" spans="1:21" ht="39.75" customHeight="1">
      <c r="A183" s="30"/>
      <c r="B183" s="30"/>
      <c r="C183" s="5" t="s">
        <v>220</v>
      </c>
      <c r="D183" s="5"/>
      <c r="E183" s="5"/>
      <c r="F183" s="5"/>
      <c r="G183" s="5"/>
      <c r="H183" s="5"/>
      <c r="I183" s="5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</row>
    <row r="184" spans="1:21" ht="39.75" customHeight="1">
      <c r="A184" s="30"/>
      <c r="B184" s="30"/>
      <c r="C184" s="5" t="s">
        <v>221</v>
      </c>
      <c r="D184" s="5"/>
      <c r="E184" s="5"/>
      <c r="F184" s="5"/>
      <c r="G184" s="5"/>
      <c r="H184" s="5"/>
      <c r="I184" s="5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</row>
    <row r="185" spans="1:21" ht="39.75" customHeight="1">
      <c r="A185" s="30"/>
      <c r="B185" s="30"/>
      <c r="C185" s="5" t="s">
        <v>222</v>
      </c>
      <c r="D185" s="5"/>
      <c r="E185" s="5"/>
      <c r="F185" s="5"/>
      <c r="G185" s="5"/>
      <c r="H185" s="5"/>
      <c r="I185" s="5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</row>
    <row r="186" spans="1:21" ht="39.75" customHeight="1">
      <c r="A186" s="30"/>
      <c r="B186" s="30"/>
      <c r="C186" s="5" t="s">
        <v>223</v>
      </c>
      <c r="D186" s="5"/>
      <c r="E186" s="5"/>
      <c r="F186" s="5"/>
      <c r="G186" s="5"/>
      <c r="H186" s="5"/>
      <c r="I186" s="5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</row>
    <row r="187" spans="1:21" ht="39.75" customHeight="1">
      <c r="A187" s="30"/>
      <c r="B187" s="30"/>
      <c r="C187" s="5" t="s">
        <v>224</v>
      </c>
      <c r="D187" s="5"/>
      <c r="E187" s="5"/>
      <c r="F187" s="5"/>
      <c r="G187" s="5"/>
      <c r="H187" s="5"/>
      <c r="I187" s="5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</row>
    <row r="188" spans="1:21" ht="39.75" customHeight="1">
      <c r="A188" s="31"/>
      <c r="B188" s="31"/>
      <c r="C188" s="5" t="s">
        <v>225</v>
      </c>
      <c r="D188" s="5"/>
      <c r="E188" s="5"/>
      <c r="F188" s="5"/>
      <c r="G188" s="5"/>
      <c r="H188" s="5"/>
      <c r="I188" s="5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</row>
    <row r="189" spans="1:21" ht="39.75" customHeight="1">
      <c r="A189" s="32" t="s">
        <v>226</v>
      </c>
      <c r="B189" s="32" t="s">
        <v>226</v>
      </c>
      <c r="C189" s="5" t="s">
        <v>227</v>
      </c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</row>
    <row r="190" spans="1:21" ht="39.75" customHeight="1">
      <c r="A190" s="30"/>
      <c r="B190" s="30"/>
      <c r="C190" s="5" t="s">
        <v>228</v>
      </c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</row>
    <row r="191" spans="1:21" ht="39.75" customHeight="1">
      <c r="A191" s="30"/>
      <c r="B191" s="30"/>
      <c r="C191" s="5" t="s">
        <v>229</v>
      </c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</row>
    <row r="192" spans="1:21" ht="39.75" customHeight="1">
      <c r="A192" s="30"/>
      <c r="B192" s="30"/>
      <c r="C192" s="5" t="s">
        <v>230</v>
      </c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</row>
    <row r="193" spans="1:21" ht="39.75" customHeight="1">
      <c r="A193" s="30"/>
      <c r="B193" s="30"/>
      <c r="C193" s="5" t="s">
        <v>231</v>
      </c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</row>
    <row r="194" spans="1:21" ht="39.75" customHeight="1">
      <c r="A194" s="30"/>
      <c r="B194" s="30"/>
      <c r="C194" s="5" t="s">
        <v>232</v>
      </c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</row>
    <row r="195" spans="1:21" ht="39.75" customHeight="1">
      <c r="A195" s="30"/>
      <c r="B195" s="30"/>
      <c r="C195" s="5" t="s">
        <v>233</v>
      </c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</row>
    <row r="196" spans="1:21" ht="39.75" customHeight="1">
      <c r="A196" s="30"/>
      <c r="B196" s="31"/>
      <c r="C196" s="5" t="s">
        <v>234</v>
      </c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</row>
    <row r="197" spans="1:21" ht="39.75" customHeight="1">
      <c r="A197" s="30"/>
      <c r="B197" s="12" t="s">
        <v>235</v>
      </c>
      <c r="C197" s="5" t="s">
        <v>236</v>
      </c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</row>
    <row r="198" spans="1:21" ht="39.75" customHeight="1">
      <c r="A198" s="30"/>
      <c r="B198" s="32" t="s">
        <v>237</v>
      </c>
      <c r="C198" s="5" t="s">
        <v>238</v>
      </c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</row>
    <row r="199" spans="1:21" ht="39.75" customHeight="1">
      <c r="A199" s="30"/>
      <c r="B199" s="30"/>
      <c r="C199" s="5" t="s">
        <v>38</v>
      </c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</row>
    <row r="200" spans="1:21" ht="39.75" customHeight="1">
      <c r="A200" s="30"/>
      <c r="B200" s="30"/>
      <c r="C200" s="5" t="s">
        <v>239</v>
      </c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</row>
    <row r="201" spans="1:21" ht="39.75" customHeight="1">
      <c r="A201" s="30"/>
      <c r="B201" s="30"/>
      <c r="C201" s="5" t="s">
        <v>38</v>
      </c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</row>
    <row r="202" spans="1:21" ht="39.75" customHeight="1">
      <c r="A202" s="30"/>
      <c r="B202" s="30"/>
      <c r="C202" s="5" t="s">
        <v>240</v>
      </c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</row>
    <row r="203" spans="1:21" ht="39.75" customHeight="1">
      <c r="A203" s="30"/>
      <c r="B203" s="30"/>
      <c r="C203" s="5" t="s">
        <v>38</v>
      </c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</row>
    <row r="204" spans="1:21" ht="39.75" customHeight="1">
      <c r="A204" s="30"/>
      <c r="B204" s="30"/>
      <c r="C204" s="5" t="s">
        <v>241</v>
      </c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</row>
    <row r="205" spans="1:21" ht="39.75" customHeight="1">
      <c r="A205" s="31"/>
      <c r="B205" s="31"/>
      <c r="C205" s="5" t="s">
        <v>242</v>
      </c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</row>
    <row r="206" spans="1:21" ht="39.75" customHeight="1">
      <c r="A206" s="32" t="s">
        <v>243</v>
      </c>
      <c r="B206" s="32" t="s">
        <v>244</v>
      </c>
      <c r="C206" s="5" t="s">
        <v>245</v>
      </c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</row>
    <row r="207" spans="1:21" ht="39.75" customHeight="1">
      <c r="A207" s="30"/>
      <c r="B207" s="31"/>
      <c r="C207" s="5" t="s">
        <v>246</v>
      </c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</row>
    <row r="208" spans="1:21" ht="39.75" customHeight="1">
      <c r="A208" s="30"/>
      <c r="B208" s="33" t="s">
        <v>247</v>
      </c>
      <c r="C208" s="5" t="s">
        <v>248</v>
      </c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</row>
    <row r="209" spans="1:21" ht="39.75" customHeight="1">
      <c r="A209" s="30"/>
      <c r="B209" s="30"/>
      <c r="C209" s="5" t="s">
        <v>249</v>
      </c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</row>
    <row r="210" spans="1:21" ht="39.75" customHeight="1">
      <c r="A210" s="30"/>
      <c r="B210" s="31"/>
      <c r="C210" s="5" t="s">
        <v>38</v>
      </c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</row>
    <row r="211" spans="1:21" ht="39.75" customHeight="1">
      <c r="A211" s="30"/>
      <c r="B211" s="33" t="s">
        <v>250</v>
      </c>
      <c r="C211" s="9" t="s">
        <v>251</v>
      </c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</row>
    <row r="212" spans="1:21" ht="39.75" customHeight="1">
      <c r="A212" s="30"/>
      <c r="B212" s="30"/>
      <c r="C212" s="9" t="s">
        <v>252</v>
      </c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</row>
    <row r="213" spans="1:21" ht="39.75" customHeight="1">
      <c r="A213" s="30"/>
      <c r="B213" s="30"/>
      <c r="C213" s="9" t="s">
        <v>253</v>
      </c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</row>
    <row r="214" spans="1:21" ht="39.75" customHeight="1">
      <c r="A214" s="30"/>
      <c r="B214" s="30"/>
      <c r="C214" s="9" t="s">
        <v>254</v>
      </c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</row>
    <row r="215" spans="1:21" ht="39.75" customHeight="1">
      <c r="A215" s="30"/>
      <c r="B215" s="30"/>
      <c r="C215" s="13" t="s">
        <v>255</v>
      </c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</row>
    <row r="216" spans="1:21" ht="39.75" customHeight="1">
      <c r="A216" s="30"/>
      <c r="B216" s="30"/>
      <c r="C216" s="9" t="s">
        <v>256</v>
      </c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</row>
    <row r="217" spans="1:21" ht="39.75" customHeight="1">
      <c r="A217" s="30"/>
      <c r="B217" s="30"/>
      <c r="C217" s="9" t="s">
        <v>257</v>
      </c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</row>
    <row r="218" spans="1:21" ht="39.75" customHeight="1">
      <c r="A218" s="30"/>
      <c r="B218" s="31"/>
      <c r="C218" s="9" t="s">
        <v>258</v>
      </c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</row>
    <row r="219" spans="1:21" ht="39.75" customHeight="1">
      <c r="A219" s="30"/>
      <c r="B219" s="33" t="s">
        <v>259</v>
      </c>
      <c r="C219" s="9" t="s">
        <v>37</v>
      </c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</row>
    <row r="220" spans="1:21" ht="39.75" customHeight="1">
      <c r="A220" s="30"/>
      <c r="B220" s="31"/>
      <c r="C220" s="9" t="s">
        <v>38</v>
      </c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</row>
    <row r="221" spans="1:21" ht="39.75" customHeight="1">
      <c r="A221" s="30"/>
      <c r="B221" s="33" t="s">
        <v>260</v>
      </c>
      <c r="C221" s="9" t="s">
        <v>37</v>
      </c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</row>
    <row r="222" spans="1:21" ht="39.75" customHeight="1">
      <c r="A222" s="30"/>
      <c r="B222" s="31"/>
      <c r="C222" s="9" t="s">
        <v>261</v>
      </c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</row>
    <row r="223" spans="1:21" ht="39.75" customHeight="1">
      <c r="A223" s="30"/>
      <c r="B223" s="33" t="s">
        <v>262</v>
      </c>
      <c r="C223" s="9" t="s">
        <v>38</v>
      </c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</row>
    <row r="224" spans="1:21" ht="39.75" customHeight="1">
      <c r="A224" s="30"/>
      <c r="B224" s="31"/>
      <c r="C224" s="9" t="s">
        <v>37</v>
      </c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</row>
    <row r="225" spans="1:21" ht="39.75" customHeight="1">
      <c r="A225" s="30"/>
      <c r="B225" s="33" t="s">
        <v>263</v>
      </c>
      <c r="C225" s="9" t="s">
        <v>37</v>
      </c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</row>
    <row r="226" spans="1:21" ht="39.75" customHeight="1">
      <c r="A226" s="30"/>
      <c r="B226" s="31"/>
      <c r="C226" s="9" t="s">
        <v>38</v>
      </c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</row>
    <row r="227" spans="1:21" ht="39.75" customHeight="1">
      <c r="A227" s="30"/>
      <c r="B227" s="33" t="s">
        <v>264</v>
      </c>
      <c r="C227" s="9" t="s">
        <v>248</v>
      </c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</row>
    <row r="228" spans="1:21" ht="39.75" customHeight="1">
      <c r="A228" s="30"/>
      <c r="B228" s="31"/>
      <c r="C228" s="9" t="s">
        <v>38</v>
      </c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</row>
    <row r="229" spans="1:21" ht="39.75" customHeight="1">
      <c r="A229" s="30"/>
      <c r="B229" s="33" t="s">
        <v>265</v>
      </c>
      <c r="C229" s="9" t="s">
        <v>266</v>
      </c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</row>
    <row r="230" spans="1:21" ht="39.75" customHeight="1">
      <c r="A230" s="30"/>
      <c r="B230" s="31"/>
      <c r="C230" s="9" t="s">
        <v>267</v>
      </c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</row>
    <row r="231" spans="1:21" ht="39.75" customHeight="1">
      <c r="A231" s="30"/>
      <c r="B231" s="33" t="s">
        <v>268</v>
      </c>
      <c r="C231" s="9" t="s">
        <v>269</v>
      </c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</row>
    <row r="232" spans="1:21" ht="39.75" customHeight="1">
      <c r="A232" s="30"/>
      <c r="B232" s="31"/>
      <c r="C232" s="9" t="s">
        <v>38</v>
      </c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</row>
    <row r="233" spans="1:21" ht="39.75" customHeight="1">
      <c r="A233" s="30"/>
      <c r="B233" s="33" t="s">
        <v>270</v>
      </c>
      <c r="C233" s="9" t="s">
        <v>269</v>
      </c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</row>
    <row r="234" spans="1:21" ht="39.75" customHeight="1">
      <c r="A234" s="31"/>
      <c r="B234" s="31"/>
      <c r="C234" s="9" t="s">
        <v>38</v>
      </c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</row>
    <row r="235" spans="1:21" ht="39.75" customHeight="1">
      <c r="A235" s="32" t="s">
        <v>271</v>
      </c>
      <c r="B235" s="32" t="s">
        <v>272</v>
      </c>
      <c r="C235" s="5" t="s">
        <v>273</v>
      </c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</row>
    <row r="236" spans="1:21" ht="39.75" customHeight="1">
      <c r="A236" s="30"/>
      <c r="B236" s="30"/>
      <c r="C236" s="5" t="s">
        <v>274</v>
      </c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</row>
    <row r="237" spans="1:21" ht="39.75" customHeight="1">
      <c r="A237" s="30"/>
      <c r="B237" s="30"/>
      <c r="C237" s="5" t="s">
        <v>275</v>
      </c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</row>
    <row r="238" spans="1:21" ht="39.75" customHeight="1">
      <c r="A238" s="30"/>
      <c r="B238" s="30"/>
      <c r="C238" s="5" t="s">
        <v>276</v>
      </c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</row>
    <row r="239" spans="1:21" ht="39.75" customHeight="1">
      <c r="A239" s="30"/>
      <c r="B239" s="30"/>
      <c r="C239" s="5" t="s">
        <v>277</v>
      </c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</row>
    <row r="240" spans="1:21" ht="39.75" customHeight="1">
      <c r="A240" s="30"/>
      <c r="B240" s="30"/>
      <c r="C240" s="5" t="s">
        <v>278</v>
      </c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</row>
    <row r="241" spans="1:21" ht="39.75" customHeight="1">
      <c r="A241" s="30"/>
      <c r="B241" s="30"/>
      <c r="C241" s="5" t="s">
        <v>279</v>
      </c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</row>
    <row r="242" spans="1:21" ht="39.75" customHeight="1">
      <c r="A242" s="30"/>
      <c r="B242" s="30"/>
      <c r="C242" s="5" t="s">
        <v>280</v>
      </c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</row>
    <row r="243" spans="1:21" ht="39.75" customHeight="1">
      <c r="A243" s="30"/>
      <c r="B243" s="30"/>
      <c r="C243" s="5" t="s">
        <v>281</v>
      </c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</row>
    <row r="244" spans="1:21" ht="39.75" customHeight="1">
      <c r="A244" s="30"/>
      <c r="B244" s="30"/>
      <c r="C244" s="5" t="s">
        <v>282</v>
      </c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</row>
    <row r="245" spans="1:21" ht="39.75" customHeight="1">
      <c r="A245" s="30"/>
      <c r="B245" s="30"/>
      <c r="C245" s="5" t="s">
        <v>283</v>
      </c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</row>
    <row r="246" spans="1:21" ht="39.75" customHeight="1">
      <c r="A246" s="30"/>
      <c r="B246" s="30"/>
      <c r="C246" s="5" t="s">
        <v>284</v>
      </c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</row>
    <row r="247" spans="1:21" ht="39.75" customHeight="1">
      <c r="A247" s="30"/>
      <c r="B247" s="30"/>
      <c r="C247" s="5" t="s">
        <v>285</v>
      </c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</row>
    <row r="248" spans="1:21" ht="39.75" customHeight="1">
      <c r="A248" s="30"/>
      <c r="B248" s="30"/>
      <c r="C248" s="5" t="s">
        <v>286</v>
      </c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</row>
    <row r="249" spans="1:21" ht="39.75" customHeight="1">
      <c r="A249" s="30"/>
      <c r="B249" s="30"/>
      <c r="C249" s="5" t="s">
        <v>287</v>
      </c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</row>
    <row r="250" spans="1:21" ht="39.75" customHeight="1">
      <c r="A250" s="30"/>
      <c r="B250" s="30"/>
      <c r="C250" s="5" t="s">
        <v>288</v>
      </c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</row>
    <row r="251" spans="1:21" ht="39.75" customHeight="1">
      <c r="A251" s="30"/>
      <c r="B251" s="30"/>
      <c r="C251" s="5" t="s">
        <v>289</v>
      </c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</row>
    <row r="252" spans="1:21" ht="39.75" customHeight="1">
      <c r="A252" s="30"/>
      <c r="B252" s="30"/>
      <c r="C252" s="5" t="s">
        <v>290</v>
      </c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</row>
    <row r="253" spans="1:21" ht="39.75" customHeight="1">
      <c r="A253" s="30"/>
      <c r="B253" s="30"/>
      <c r="C253" s="5" t="s">
        <v>291</v>
      </c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</row>
    <row r="254" spans="1:21" ht="39.75" customHeight="1">
      <c r="A254" s="30"/>
      <c r="B254" s="30"/>
      <c r="C254" s="5" t="s">
        <v>292</v>
      </c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</row>
    <row r="255" spans="1:21" ht="39.75" customHeight="1">
      <c r="A255" s="30"/>
      <c r="B255" s="30"/>
      <c r="C255" s="5" t="s">
        <v>293</v>
      </c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</row>
    <row r="256" spans="1:21" ht="39.75" customHeight="1">
      <c r="A256" s="30"/>
      <c r="B256" s="30"/>
      <c r="C256" s="5" t="s">
        <v>294</v>
      </c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</row>
    <row r="257" spans="1:21" ht="39.75" customHeight="1">
      <c r="A257" s="30"/>
      <c r="B257" s="30"/>
      <c r="C257" s="5" t="s">
        <v>295</v>
      </c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</row>
    <row r="258" spans="1:21" ht="39.75" customHeight="1">
      <c r="A258" s="30"/>
      <c r="B258" s="31"/>
      <c r="C258" s="5" t="s">
        <v>296</v>
      </c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</row>
    <row r="259" spans="1:21" ht="39.75" customHeight="1">
      <c r="A259" s="30"/>
      <c r="B259" s="32" t="s">
        <v>297</v>
      </c>
      <c r="C259" s="5" t="s">
        <v>298</v>
      </c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</row>
    <row r="260" spans="1:21" ht="39.75" customHeight="1">
      <c r="A260" s="30"/>
      <c r="B260" s="30"/>
      <c r="C260" s="5" t="s">
        <v>299</v>
      </c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</row>
    <row r="261" spans="1:21" ht="39.75" customHeight="1">
      <c r="A261" s="30"/>
      <c r="B261" s="30"/>
      <c r="C261" s="5" t="s">
        <v>300</v>
      </c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</row>
    <row r="262" spans="1:21" ht="39.75" customHeight="1">
      <c r="A262" s="30"/>
      <c r="B262" s="30"/>
      <c r="C262" s="5" t="s">
        <v>301</v>
      </c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</row>
    <row r="263" spans="1:21" ht="39.75" customHeight="1">
      <c r="A263" s="30"/>
      <c r="B263" s="30"/>
      <c r="C263" s="5" t="s">
        <v>302</v>
      </c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</row>
    <row r="264" spans="1:21" ht="39.75" customHeight="1">
      <c r="A264" s="30"/>
      <c r="B264" s="31"/>
      <c r="C264" s="5" t="s">
        <v>303</v>
      </c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</row>
    <row r="265" spans="1:21" ht="39.75" customHeight="1">
      <c r="A265" s="30"/>
      <c r="B265" s="32" t="s">
        <v>304</v>
      </c>
      <c r="C265" s="5" t="s">
        <v>305</v>
      </c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</row>
    <row r="266" spans="1:21" ht="39.75" customHeight="1">
      <c r="A266" s="30"/>
      <c r="B266" s="30"/>
      <c r="C266" s="5" t="s">
        <v>306</v>
      </c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</row>
    <row r="267" spans="1:21" ht="39.75" customHeight="1">
      <c r="A267" s="30"/>
      <c r="B267" s="30"/>
      <c r="C267" s="5" t="s">
        <v>307</v>
      </c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</row>
    <row r="268" spans="1:21" ht="39.75" customHeight="1">
      <c r="A268" s="30"/>
      <c r="B268" s="30"/>
      <c r="C268" s="5" t="s">
        <v>308</v>
      </c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</row>
    <row r="269" spans="1:21" ht="39.75" customHeight="1">
      <c r="A269" s="30"/>
      <c r="B269" s="30"/>
      <c r="C269" s="5" t="s">
        <v>309</v>
      </c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</row>
    <row r="270" spans="1:21" ht="39.75" customHeight="1">
      <c r="A270" s="30"/>
      <c r="B270" s="30"/>
      <c r="C270" s="5" t="s">
        <v>310</v>
      </c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</row>
    <row r="271" spans="1:21" ht="39.75" customHeight="1">
      <c r="A271" s="30"/>
      <c r="B271" s="30"/>
      <c r="C271" s="5" t="s">
        <v>311</v>
      </c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</row>
    <row r="272" spans="1:21" ht="39.75" customHeight="1">
      <c r="A272" s="30"/>
      <c r="B272" s="30"/>
      <c r="C272" s="5" t="s">
        <v>312</v>
      </c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</row>
    <row r="273" spans="1:21" ht="39.75" customHeight="1">
      <c r="A273" s="30"/>
      <c r="B273" s="30"/>
      <c r="C273" s="5" t="s">
        <v>313</v>
      </c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</row>
    <row r="274" spans="1:21" ht="39.75" customHeight="1">
      <c r="A274" s="30"/>
      <c r="B274" s="30"/>
      <c r="C274" s="5" t="s">
        <v>314</v>
      </c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</row>
    <row r="275" spans="1:21" ht="39.75" customHeight="1">
      <c r="A275" s="30"/>
      <c r="B275" s="31"/>
      <c r="C275" s="5" t="s">
        <v>315</v>
      </c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</row>
    <row r="276" spans="1:21" ht="39.75" customHeight="1">
      <c r="A276" s="30"/>
      <c r="B276" s="32" t="s">
        <v>316</v>
      </c>
      <c r="C276" s="5" t="s">
        <v>317</v>
      </c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</row>
    <row r="277" spans="1:21" ht="39.75" customHeight="1">
      <c r="A277" s="30"/>
      <c r="B277" s="30"/>
      <c r="C277" s="5" t="s">
        <v>318</v>
      </c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</row>
    <row r="278" spans="1:21" ht="39.75" customHeight="1">
      <c r="A278" s="30"/>
      <c r="B278" s="30"/>
      <c r="C278" s="5" t="s">
        <v>319</v>
      </c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</row>
    <row r="279" spans="1:21" ht="39.75" customHeight="1">
      <c r="A279" s="30"/>
      <c r="B279" s="30"/>
      <c r="C279" s="5" t="s">
        <v>320</v>
      </c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</row>
    <row r="280" spans="1:21" ht="39.75" customHeight="1">
      <c r="A280" s="30"/>
      <c r="B280" s="30"/>
      <c r="C280" s="5" t="s">
        <v>321</v>
      </c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</row>
    <row r="281" spans="1:21" ht="39.75" customHeight="1">
      <c r="A281" s="30"/>
      <c r="B281" s="30"/>
      <c r="C281" s="5" t="s">
        <v>322</v>
      </c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</row>
    <row r="282" spans="1:21" ht="39.75" customHeight="1">
      <c r="A282" s="30"/>
      <c r="B282" s="30"/>
      <c r="C282" s="5" t="s">
        <v>323</v>
      </c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</row>
    <row r="283" spans="1:21" ht="39.75" customHeight="1">
      <c r="A283" s="30"/>
      <c r="B283" s="31"/>
      <c r="C283" s="5" t="s">
        <v>324</v>
      </c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</row>
    <row r="284" spans="1:21" ht="39.75" customHeight="1">
      <c r="A284" s="30"/>
      <c r="B284" s="32" t="s">
        <v>325</v>
      </c>
      <c r="C284" s="5" t="s">
        <v>326</v>
      </c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</row>
    <row r="285" spans="1:21" ht="39.75" customHeight="1">
      <c r="A285" s="30"/>
      <c r="B285" s="30"/>
      <c r="C285" s="5" t="s">
        <v>327</v>
      </c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</row>
    <row r="286" spans="1:21" ht="39.75" customHeight="1">
      <c r="A286" s="30"/>
      <c r="B286" s="31"/>
      <c r="C286" s="5" t="s">
        <v>328</v>
      </c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</row>
    <row r="287" spans="1:21" ht="39.75" customHeight="1">
      <c r="A287" s="30"/>
      <c r="B287" s="32" t="s">
        <v>329</v>
      </c>
      <c r="C287" s="14" t="s">
        <v>330</v>
      </c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</row>
    <row r="288" spans="1:21" ht="39.75" customHeight="1">
      <c r="A288" s="30"/>
      <c r="B288" s="30"/>
      <c r="C288" s="14" t="s">
        <v>331</v>
      </c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</row>
    <row r="289" spans="1:21" ht="39.75" customHeight="1">
      <c r="A289" s="30"/>
      <c r="B289" s="30"/>
      <c r="C289" s="14" t="s">
        <v>332</v>
      </c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</row>
    <row r="290" spans="1:21" ht="39.75" customHeight="1">
      <c r="A290" s="30"/>
      <c r="B290" s="30"/>
      <c r="C290" s="5" t="s">
        <v>333</v>
      </c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</row>
    <row r="291" spans="1:21" ht="39.75" customHeight="1">
      <c r="A291" s="30"/>
      <c r="B291" s="30"/>
      <c r="C291" s="5" t="s">
        <v>334</v>
      </c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</row>
    <row r="292" spans="1:21" ht="39.75" customHeight="1">
      <c r="A292" s="30"/>
      <c r="B292" s="30"/>
      <c r="C292" s="5" t="s">
        <v>335</v>
      </c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</row>
    <row r="293" spans="1:21" ht="39.75" customHeight="1">
      <c r="A293" s="30"/>
      <c r="B293" s="30"/>
      <c r="C293" s="5" t="s">
        <v>336</v>
      </c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</row>
    <row r="294" spans="1:21" ht="39.75" customHeight="1">
      <c r="A294" s="30"/>
      <c r="B294" s="30"/>
      <c r="C294" s="5" t="s">
        <v>337</v>
      </c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</row>
    <row r="295" spans="1:21" ht="39.75" customHeight="1">
      <c r="A295" s="30"/>
      <c r="B295" s="30"/>
      <c r="C295" s="5" t="s">
        <v>338</v>
      </c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</row>
    <row r="296" spans="1:21" ht="39.75" customHeight="1">
      <c r="A296" s="30"/>
      <c r="B296" s="30"/>
      <c r="C296" s="5" t="s">
        <v>339</v>
      </c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</row>
    <row r="297" spans="1:21" ht="39.75" customHeight="1">
      <c r="A297" s="30"/>
      <c r="B297" s="31"/>
      <c r="C297" s="5" t="s">
        <v>340</v>
      </c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</row>
    <row r="298" spans="1:21" ht="39.75" customHeight="1">
      <c r="A298" s="30"/>
      <c r="B298" s="32" t="s">
        <v>341</v>
      </c>
      <c r="C298" s="5" t="s">
        <v>342</v>
      </c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</row>
    <row r="299" spans="1:21" ht="39.75" customHeight="1">
      <c r="A299" s="30"/>
      <c r="B299" s="30"/>
      <c r="C299" s="5" t="s">
        <v>343</v>
      </c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</row>
    <row r="300" spans="1:21" ht="39.75" customHeight="1">
      <c r="A300" s="30"/>
      <c r="B300" s="30"/>
      <c r="C300" s="5" t="s">
        <v>344</v>
      </c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</row>
    <row r="301" spans="1:21" ht="39.75" customHeight="1">
      <c r="A301" s="30"/>
      <c r="B301" s="30"/>
      <c r="C301" s="5" t="s">
        <v>345</v>
      </c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</row>
    <row r="302" spans="1:21" ht="39.75" customHeight="1">
      <c r="A302" s="30"/>
      <c r="B302" s="30"/>
      <c r="C302" s="5" t="s">
        <v>346</v>
      </c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</row>
    <row r="303" spans="1:21" ht="39.75" customHeight="1">
      <c r="A303" s="30"/>
      <c r="B303" s="30"/>
      <c r="C303" s="5" t="s">
        <v>347</v>
      </c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</row>
    <row r="304" spans="1:21" ht="39.75" customHeight="1">
      <c r="A304" s="30"/>
      <c r="B304" s="30"/>
      <c r="C304" s="5" t="s">
        <v>348</v>
      </c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</row>
    <row r="305" spans="1:21" ht="39.75" customHeight="1">
      <c r="A305" s="30"/>
      <c r="B305" s="30"/>
      <c r="C305" s="5" t="s">
        <v>349</v>
      </c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</row>
    <row r="306" spans="1:21" ht="39.75" customHeight="1">
      <c r="A306" s="30"/>
      <c r="B306" s="30"/>
      <c r="C306" s="5" t="s">
        <v>350</v>
      </c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</row>
    <row r="307" spans="1:21" ht="39.75" customHeight="1">
      <c r="A307" s="30"/>
      <c r="B307" s="30"/>
      <c r="C307" s="5" t="s">
        <v>351</v>
      </c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</row>
    <row r="308" spans="1:21" ht="39.75" customHeight="1">
      <c r="A308" s="30"/>
      <c r="B308" s="30"/>
      <c r="C308" s="5" t="s">
        <v>352</v>
      </c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</row>
    <row r="309" spans="1:21" ht="39.75" customHeight="1">
      <c r="A309" s="30"/>
      <c r="B309" s="30"/>
      <c r="C309" s="5" t="s">
        <v>353</v>
      </c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</row>
    <row r="310" spans="1:21" ht="39.75" customHeight="1">
      <c r="A310" s="30"/>
      <c r="B310" s="30"/>
      <c r="C310" s="5" t="s">
        <v>354</v>
      </c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</row>
    <row r="311" spans="1:21" ht="39.75" customHeight="1">
      <c r="A311" s="30"/>
      <c r="B311" s="30"/>
      <c r="C311" s="5" t="s">
        <v>355</v>
      </c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</row>
    <row r="312" spans="1:21" ht="39.75" customHeight="1">
      <c r="A312" s="30"/>
      <c r="B312" s="30"/>
      <c r="C312" s="14" t="s">
        <v>356</v>
      </c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</row>
    <row r="313" spans="1:21" ht="39.75" customHeight="1">
      <c r="A313" s="30"/>
      <c r="B313" s="30"/>
      <c r="C313" s="14" t="s">
        <v>357</v>
      </c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</row>
    <row r="314" spans="1:21" ht="39.75" customHeight="1">
      <c r="A314" s="30"/>
      <c r="B314" s="30"/>
      <c r="C314" s="14" t="s">
        <v>358</v>
      </c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</row>
    <row r="315" spans="1:21" ht="39.75" customHeight="1">
      <c r="A315" s="30"/>
      <c r="B315" s="31"/>
      <c r="C315" s="14" t="s">
        <v>359</v>
      </c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</row>
    <row r="316" spans="1:21" ht="39.75" customHeight="1">
      <c r="A316" s="30"/>
      <c r="B316" s="32" t="s">
        <v>360</v>
      </c>
      <c r="C316" s="5" t="s">
        <v>361</v>
      </c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</row>
    <row r="317" spans="1:21" ht="39.75" customHeight="1">
      <c r="A317" s="30"/>
      <c r="B317" s="30"/>
      <c r="C317" s="5" t="s">
        <v>362</v>
      </c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</row>
    <row r="318" spans="1:21" ht="39.75" customHeight="1">
      <c r="A318" s="30"/>
      <c r="B318" s="30"/>
      <c r="C318" s="5" t="s">
        <v>363</v>
      </c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</row>
    <row r="319" spans="1:21" ht="39.75" customHeight="1">
      <c r="A319" s="30"/>
      <c r="B319" s="30"/>
      <c r="C319" s="5" t="s">
        <v>364</v>
      </c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</row>
    <row r="320" spans="1:21" ht="39.75" customHeight="1">
      <c r="A320" s="31"/>
      <c r="B320" s="31"/>
      <c r="C320" s="5" t="s">
        <v>365</v>
      </c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</row>
    <row r="321" spans="1:21" ht="39.75" customHeight="1">
      <c r="A321" s="32" t="s">
        <v>366</v>
      </c>
      <c r="B321" s="32" t="s">
        <v>367</v>
      </c>
      <c r="C321" s="5" t="s">
        <v>368</v>
      </c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</row>
    <row r="322" spans="1:21" ht="39.75" customHeight="1">
      <c r="A322" s="30"/>
      <c r="B322" s="30"/>
      <c r="C322" s="5" t="s">
        <v>369</v>
      </c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</row>
    <row r="323" spans="1:21" ht="39.75" customHeight="1">
      <c r="A323" s="30"/>
      <c r="B323" s="30"/>
      <c r="C323" s="5" t="s">
        <v>370</v>
      </c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</row>
    <row r="324" spans="1:21" ht="39.75" customHeight="1">
      <c r="A324" s="30"/>
      <c r="B324" s="30"/>
      <c r="C324" s="5" t="s">
        <v>371</v>
      </c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</row>
    <row r="325" spans="1:21" ht="39.75" customHeight="1">
      <c r="A325" s="30"/>
      <c r="B325" s="30"/>
      <c r="C325" s="5" t="s">
        <v>372</v>
      </c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</row>
    <row r="326" spans="1:21" ht="39.75" customHeight="1">
      <c r="A326" s="30"/>
      <c r="B326" s="30"/>
      <c r="C326" s="5" t="s">
        <v>373</v>
      </c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</row>
    <row r="327" spans="1:21" ht="39.75" customHeight="1">
      <c r="A327" s="30"/>
      <c r="B327" s="30"/>
      <c r="C327" s="5" t="s">
        <v>374</v>
      </c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</row>
    <row r="328" spans="1:21" ht="39.75" customHeight="1">
      <c r="A328" s="30"/>
      <c r="B328" s="30"/>
      <c r="C328" s="5" t="s">
        <v>375</v>
      </c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</row>
    <row r="329" spans="1:21" ht="39.75" customHeight="1">
      <c r="A329" s="30"/>
      <c r="B329" s="30"/>
      <c r="C329" s="5" t="s">
        <v>376</v>
      </c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</row>
    <row r="330" spans="1:21" ht="39.75" customHeight="1">
      <c r="A330" s="30"/>
      <c r="B330" s="30"/>
      <c r="C330" s="5" t="s">
        <v>377</v>
      </c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</row>
    <row r="331" spans="1:21" ht="39.75" customHeight="1">
      <c r="A331" s="30"/>
      <c r="B331" s="30"/>
      <c r="C331" s="5" t="s">
        <v>378</v>
      </c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</row>
    <row r="332" spans="1:21" ht="39.75" customHeight="1">
      <c r="A332" s="30"/>
      <c r="B332" s="30"/>
      <c r="C332" s="5" t="s">
        <v>379</v>
      </c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</row>
    <row r="333" spans="1:21" ht="39.75" customHeight="1">
      <c r="A333" s="30"/>
      <c r="B333" s="30"/>
      <c r="C333" s="5" t="s">
        <v>380</v>
      </c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</row>
    <row r="334" spans="1:21" ht="39.75" customHeight="1">
      <c r="A334" s="30"/>
      <c r="B334" s="30"/>
      <c r="C334" s="5" t="s">
        <v>381</v>
      </c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</row>
    <row r="335" spans="1:21" ht="39.75" customHeight="1">
      <c r="A335" s="30"/>
      <c r="B335" s="30"/>
      <c r="C335" s="5" t="s">
        <v>382</v>
      </c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</row>
    <row r="336" spans="1:21" ht="39.75" customHeight="1">
      <c r="A336" s="30"/>
      <c r="B336" s="30"/>
      <c r="C336" s="5" t="s">
        <v>383</v>
      </c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</row>
    <row r="337" spans="1:21" ht="39.75" customHeight="1">
      <c r="A337" s="30"/>
      <c r="B337" s="30"/>
      <c r="C337" s="5" t="s">
        <v>384</v>
      </c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</row>
    <row r="338" spans="1:21" ht="39.75" customHeight="1">
      <c r="A338" s="30"/>
      <c r="B338" s="30"/>
      <c r="C338" s="5" t="s">
        <v>385</v>
      </c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</row>
    <row r="339" spans="1:21" ht="39.75" customHeight="1">
      <c r="A339" s="30"/>
      <c r="B339" s="30"/>
      <c r="C339" s="5" t="s">
        <v>386</v>
      </c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</row>
    <row r="340" spans="1:21" ht="39.75" customHeight="1">
      <c r="A340" s="30"/>
      <c r="B340" s="30"/>
      <c r="C340" s="5" t="s">
        <v>387</v>
      </c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</row>
    <row r="341" spans="1:21" ht="39.75" customHeight="1">
      <c r="A341" s="30"/>
      <c r="B341" s="30"/>
      <c r="C341" s="5" t="s">
        <v>388</v>
      </c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</row>
    <row r="342" spans="1:21" ht="39.75" customHeight="1">
      <c r="A342" s="30"/>
      <c r="B342" s="30"/>
      <c r="C342" s="5" t="s">
        <v>389</v>
      </c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</row>
    <row r="343" spans="1:21" ht="39.75" customHeight="1">
      <c r="A343" s="30"/>
      <c r="B343" s="30"/>
      <c r="C343" s="5" t="s">
        <v>390</v>
      </c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</row>
    <row r="344" spans="1:21" ht="39.75" customHeight="1">
      <c r="A344" s="30"/>
      <c r="B344" s="30"/>
      <c r="C344" s="5" t="s">
        <v>391</v>
      </c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</row>
    <row r="345" spans="1:21" ht="39.75" customHeight="1">
      <c r="A345" s="30"/>
      <c r="B345" s="30"/>
      <c r="C345" s="5" t="s">
        <v>392</v>
      </c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</row>
    <row r="346" spans="1:21" ht="39.75" customHeight="1">
      <c r="A346" s="30"/>
      <c r="B346" s="30"/>
      <c r="C346" s="5" t="s">
        <v>393</v>
      </c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</row>
    <row r="347" spans="1:21" ht="39.75" customHeight="1">
      <c r="A347" s="30"/>
      <c r="B347" s="30"/>
      <c r="C347" s="5" t="s">
        <v>394</v>
      </c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</row>
    <row r="348" spans="1:21" ht="39.75" customHeight="1">
      <c r="A348" s="30"/>
      <c r="B348" s="30"/>
      <c r="C348" s="5" t="s">
        <v>395</v>
      </c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</row>
    <row r="349" spans="1:21" ht="39.75" customHeight="1">
      <c r="A349" s="30"/>
      <c r="B349" s="30"/>
      <c r="C349" s="5" t="s">
        <v>396</v>
      </c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</row>
    <row r="350" spans="1:21" ht="39.75" customHeight="1">
      <c r="A350" s="30"/>
      <c r="B350" s="30"/>
      <c r="C350" s="5" t="s">
        <v>397</v>
      </c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</row>
    <row r="351" spans="1:21" ht="39.75" customHeight="1">
      <c r="A351" s="30"/>
      <c r="B351" s="30"/>
      <c r="C351" s="5" t="s">
        <v>398</v>
      </c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</row>
    <row r="352" spans="1:21" ht="39.75" customHeight="1">
      <c r="A352" s="30"/>
      <c r="B352" s="30"/>
      <c r="C352" s="5" t="s">
        <v>399</v>
      </c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</row>
    <row r="353" spans="1:21" ht="39.75" customHeight="1">
      <c r="A353" s="30"/>
      <c r="B353" s="30"/>
      <c r="C353" s="5" t="s">
        <v>400</v>
      </c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</row>
    <row r="354" spans="1:21" ht="39.75" customHeight="1">
      <c r="A354" s="30"/>
      <c r="B354" s="31"/>
      <c r="C354" s="5" t="s">
        <v>401</v>
      </c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</row>
    <row r="355" spans="1:21" ht="39.75" customHeight="1">
      <c r="A355" s="30"/>
      <c r="B355" s="32" t="s">
        <v>402</v>
      </c>
      <c r="C355" s="5" t="s">
        <v>403</v>
      </c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</row>
    <row r="356" spans="1:21" ht="39.75" customHeight="1">
      <c r="A356" s="30"/>
      <c r="B356" s="30"/>
      <c r="C356" s="5" t="s">
        <v>404</v>
      </c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</row>
    <row r="357" spans="1:21" ht="39.75" customHeight="1">
      <c r="A357" s="30"/>
      <c r="B357" s="30"/>
      <c r="C357" s="5" t="s">
        <v>405</v>
      </c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</row>
    <row r="358" spans="1:21" ht="39.75" customHeight="1">
      <c r="A358" s="31"/>
      <c r="B358" s="31"/>
      <c r="C358" s="5" t="s">
        <v>406</v>
      </c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</row>
    <row r="359" spans="1:21" ht="39.75" customHeight="1">
      <c r="A359" s="32" t="s">
        <v>407</v>
      </c>
      <c r="B359" s="32" t="s">
        <v>408</v>
      </c>
      <c r="C359" s="5" t="s">
        <v>409</v>
      </c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</row>
    <row r="360" spans="1:21" ht="39.75" customHeight="1">
      <c r="A360" s="30"/>
      <c r="B360" s="30"/>
      <c r="C360" s="5" t="s">
        <v>410</v>
      </c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</row>
    <row r="361" spans="1:21" ht="39.75" customHeight="1">
      <c r="A361" s="30"/>
      <c r="B361" s="31"/>
      <c r="C361" s="5" t="s">
        <v>411</v>
      </c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</row>
    <row r="362" spans="1:21" ht="39.75" customHeight="1">
      <c r="A362" s="30"/>
      <c r="B362" s="32" t="s">
        <v>412</v>
      </c>
      <c r="C362" s="5" t="s">
        <v>413</v>
      </c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</row>
    <row r="363" spans="1:21" ht="39.75" customHeight="1">
      <c r="A363" s="30"/>
      <c r="B363" s="30"/>
      <c r="C363" s="5" t="s">
        <v>414</v>
      </c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</row>
    <row r="364" spans="1:21" ht="39.75" customHeight="1">
      <c r="A364" s="30"/>
      <c r="B364" s="31"/>
      <c r="C364" s="5" t="s">
        <v>415</v>
      </c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</row>
    <row r="365" spans="1:21" ht="39.75" customHeight="1">
      <c r="A365" s="30"/>
      <c r="B365" s="32" t="s">
        <v>416</v>
      </c>
      <c r="C365" s="5" t="s">
        <v>417</v>
      </c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</row>
    <row r="366" spans="1:21" ht="39.75" customHeight="1">
      <c r="A366" s="30"/>
      <c r="B366" s="30"/>
      <c r="C366" s="5" t="s">
        <v>418</v>
      </c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</row>
    <row r="367" spans="1:21" ht="39.75" customHeight="1">
      <c r="A367" s="30"/>
      <c r="B367" s="30"/>
      <c r="C367" s="5" t="s">
        <v>419</v>
      </c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</row>
    <row r="368" spans="1:21" ht="39.75" customHeight="1">
      <c r="A368" s="30"/>
      <c r="B368" s="31"/>
      <c r="C368" s="5" t="s">
        <v>420</v>
      </c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</row>
    <row r="369" spans="1:21" ht="39.75" customHeight="1">
      <c r="A369" s="30"/>
      <c r="B369" s="32" t="s">
        <v>421</v>
      </c>
      <c r="C369" s="5" t="s">
        <v>422</v>
      </c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</row>
    <row r="370" spans="1:21" ht="39.75" customHeight="1">
      <c r="A370" s="30"/>
      <c r="B370" s="30"/>
      <c r="C370" s="5" t="s">
        <v>423</v>
      </c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</row>
    <row r="371" spans="1:21" ht="39.75" customHeight="1">
      <c r="A371" s="30"/>
      <c r="B371" s="30"/>
      <c r="C371" s="5" t="s">
        <v>424</v>
      </c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</row>
    <row r="372" spans="1:21" ht="39.75" customHeight="1">
      <c r="A372" s="30"/>
      <c r="B372" s="30"/>
      <c r="C372" s="5" t="s">
        <v>425</v>
      </c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</row>
    <row r="373" spans="1:21" ht="39.75" customHeight="1">
      <c r="A373" s="30"/>
      <c r="B373" s="30"/>
      <c r="C373" s="5" t="s">
        <v>426</v>
      </c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</row>
    <row r="374" spans="1:21" ht="39.75" customHeight="1">
      <c r="A374" s="30"/>
      <c r="B374" s="30"/>
      <c r="C374" s="5" t="s">
        <v>427</v>
      </c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</row>
    <row r="375" spans="1:21" ht="39.75" customHeight="1">
      <c r="A375" s="30"/>
      <c r="B375" s="30"/>
      <c r="C375" s="5" t="s">
        <v>428</v>
      </c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</row>
    <row r="376" spans="1:21" ht="39.75" customHeight="1">
      <c r="A376" s="31"/>
      <c r="B376" s="31"/>
      <c r="C376" s="5" t="s">
        <v>429</v>
      </c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</row>
    <row r="377" spans="1:21" ht="39.75" customHeight="1">
      <c r="A377" s="40" t="s">
        <v>430</v>
      </c>
      <c r="B377" s="33" t="s">
        <v>431</v>
      </c>
      <c r="C377" s="9" t="s">
        <v>432</v>
      </c>
      <c r="D377" s="9"/>
      <c r="E377" s="9"/>
      <c r="F377" s="9"/>
      <c r="G377" s="9"/>
      <c r="H377" s="9"/>
      <c r="I377" s="9"/>
      <c r="J377" s="9"/>
      <c r="K377" s="9"/>
      <c r="L377" s="16"/>
      <c r="M377" s="16"/>
      <c r="N377" s="16"/>
      <c r="O377" s="16"/>
      <c r="P377" s="16"/>
      <c r="Q377" s="16"/>
      <c r="R377" s="16"/>
      <c r="S377" s="16"/>
      <c r="T377" s="16"/>
      <c r="U377" s="16"/>
    </row>
    <row r="378" spans="1:21" ht="39.75" customHeight="1">
      <c r="A378" s="30"/>
      <c r="B378" s="30"/>
      <c r="C378" s="9" t="s">
        <v>433</v>
      </c>
      <c r="D378" s="9"/>
      <c r="E378" s="9"/>
      <c r="F378" s="9"/>
      <c r="G378" s="9"/>
      <c r="H378" s="9"/>
      <c r="I378" s="9"/>
      <c r="J378" s="9"/>
      <c r="K378" s="9"/>
      <c r="L378" s="16"/>
      <c r="M378" s="16"/>
      <c r="N378" s="16"/>
      <c r="O378" s="16"/>
      <c r="P378" s="16"/>
      <c r="Q378" s="16"/>
      <c r="R378" s="16"/>
      <c r="S378" s="16"/>
      <c r="T378" s="16"/>
      <c r="U378" s="16"/>
    </row>
    <row r="379" spans="1:21" ht="39.75" customHeight="1">
      <c r="A379" s="30"/>
      <c r="B379" s="30"/>
      <c r="C379" s="9" t="s">
        <v>434</v>
      </c>
      <c r="D379" s="9"/>
      <c r="E379" s="9"/>
      <c r="F379" s="9"/>
      <c r="G379" s="9"/>
      <c r="H379" s="9"/>
      <c r="I379" s="9"/>
      <c r="J379" s="9"/>
      <c r="K379" s="9"/>
      <c r="L379" s="16"/>
      <c r="M379" s="16"/>
      <c r="N379" s="16"/>
      <c r="O379" s="16"/>
      <c r="P379" s="16"/>
      <c r="Q379" s="16"/>
      <c r="R379" s="16"/>
      <c r="S379" s="16"/>
      <c r="T379" s="16"/>
      <c r="U379" s="16"/>
    </row>
    <row r="380" spans="1:21" ht="39.75" customHeight="1">
      <c r="A380" s="30"/>
      <c r="B380" s="30"/>
      <c r="C380" s="9" t="s">
        <v>435</v>
      </c>
      <c r="D380" s="9"/>
      <c r="E380" s="9"/>
      <c r="F380" s="9"/>
      <c r="G380" s="9"/>
      <c r="H380" s="9"/>
      <c r="I380" s="9"/>
      <c r="J380" s="9"/>
      <c r="K380" s="9"/>
      <c r="L380" s="16"/>
      <c r="M380" s="16"/>
      <c r="N380" s="16"/>
      <c r="O380" s="16"/>
      <c r="P380" s="16"/>
      <c r="Q380" s="16"/>
      <c r="R380" s="16"/>
      <c r="S380" s="16"/>
      <c r="T380" s="16"/>
      <c r="U380" s="16"/>
    </row>
    <row r="381" spans="1:21" ht="39.75" customHeight="1">
      <c r="A381" s="30"/>
      <c r="B381" s="30"/>
      <c r="C381" s="9" t="s">
        <v>436</v>
      </c>
      <c r="D381" s="9"/>
      <c r="E381" s="9"/>
      <c r="F381" s="9"/>
      <c r="G381" s="9"/>
      <c r="H381" s="9"/>
      <c r="I381" s="9"/>
      <c r="J381" s="9"/>
      <c r="K381" s="9"/>
      <c r="L381" s="16"/>
      <c r="M381" s="16"/>
      <c r="N381" s="16"/>
      <c r="O381" s="16"/>
      <c r="P381" s="16"/>
      <c r="Q381" s="16"/>
      <c r="R381" s="16"/>
      <c r="S381" s="16"/>
      <c r="T381" s="16"/>
      <c r="U381" s="16"/>
    </row>
    <row r="382" spans="1:21" ht="39.75" customHeight="1">
      <c r="A382" s="30"/>
      <c r="B382" s="30"/>
      <c r="C382" s="9"/>
      <c r="D382" s="9"/>
      <c r="E382" s="9"/>
      <c r="F382" s="9"/>
      <c r="G382" s="9"/>
      <c r="H382" s="9"/>
      <c r="I382" s="9"/>
      <c r="J382" s="9"/>
      <c r="K382" s="9"/>
      <c r="L382" s="16"/>
      <c r="M382" s="16"/>
      <c r="N382" s="16"/>
      <c r="O382" s="16"/>
      <c r="P382" s="16"/>
      <c r="Q382" s="16"/>
      <c r="R382" s="16"/>
      <c r="S382" s="16"/>
      <c r="T382" s="16"/>
      <c r="U382" s="16"/>
    </row>
    <row r="383" spans="1:21" ht="39.75" customHeight="1">
      <c r="A383" s="30"/>
      <c r="B383" s="30"/>
      <c r="C383" s="9" t="s">
        <v>437</v>
      </c>
      <c r="D383" s="9"/>
      <c r="E383" s="9"/>
      <c r="F383" s="9"/>
      <c r="G383" s="9"/>
      <c r="H383" s="9"/>
      <c r="I383" s="9"/>
      <c r="J383" s="9"/>
      <c r="K383" s="9"/>
      <c r="L383" s="16"/>
      <c r="M383" s="16"/>
      <c r="N383" s="16"/>
      <c r="O383" s="16"/>
      <c r="P383" s="16"/>
      <c r="Q383" s="16"/>
      <c r="R383" s="16"/>
      <c r="S383" s="16"/>
      <c r="T383" s="16"/>
      <c r="U383" s="16"/>
    </row>
    <row r="384" spans="1:21" ht="39.75" customHeight="1">
      <c r="A384" s="30"/>
      <c r="B384" s="30"/>
      <c r="C384" s="9" t="s">
        <v>438</v>
      </c>
      <c r="D384" s="9"/>
      <c r="E384" s="9"/>
      <c r="F384" s="9"/>
      <c r="G384" s="9"/>
      <c r="H384" s="9"/>
      <c r="I384" s="9"/>
      <c r="J384" s="9"/>
      <c r="K384" s="9"/>
      <c r="L384" s="16"/>
      <c r="M384" s="16"/>
      <c r="N384" s="16"/>
      <c r="O384" s="16"/>
      <c r="P384" s="16"/>
      <c r="Q384" s="16"/>
      <c r="R384" s="16"/>
      <c r="S384" s="16"/>
      <c r="T384" s="16"/>
      <c r="U384" s="16"/>
    </row>
    <row r="385" spans="1:21" ht="39.75" customHeight="1">
      <c r="A385" s="30"/>
      <c r="B385" s="30"/>
      <c r="C385" s="9" t="s">
        <v>439</v>
      </c>
      <c r="D385" s="9"/>
      <c r="E385" s="9"/>
      <c r="F385" s="9"/>
      <c r="G385" s="9"/>
      <c r="H385" s="9"/>
      <c r="I385" s="9"/>
      <c r="J385" s="9"/>
      <c r="K385" s="9"/>
      <c r="L385" s="16"/>
      <c r="M385" s="16"/>
      <c r="N385" s="16"/>
      <c r="O385" s="16"/>
      <c r="P385" s="16"/>
      <c r="Q385" s="16"/>
      <c r="R385" s="16"/>
      <c r="S385" s="16"/>
      <c r="T385" s="16"/>
      <c r="U385" s="16"/>
    </row>
    <row r="386" spans="1:21" ht="39.75" customHeight="1">
      <c r="A386" s="30"/>
      <c r="B386" s="30"/>
      <c r="C386" s="9" t="s">
        <v>440</v>
      </c>
      <c r="D386" s="9"/>
      <c r="E386" s="9"/>
      <c r="F386" s="9"/>
      <c r="G386" s="9"/>
      <c r="H386" s="9"/>
      <c r="I386" s="9"/>
      <c r="J386" s="9"/>
      <c r="K386" s="9"/>
      <c r="L386" s="16"/>
      <c r="M386" s="16"/>
      <c r="N386" s="16"/>
      <c r="O386" s="16"/>
      <c r="P386" s="16"/>
      <c r="Q386" s="16"/>
      <c r="R386" s="16"/>
      <c r="S386" s="16"/>
      <c r="T386" s="16"/>
      <c r="U386" s="16"/>
    </row>
    <row r="387" spans="1:21" ht="39.75" customHeight="1">
      <c r="A387" s="30"/>
      <c r="B387" s="30"/>
      <c r="C387" s="9" t="s">
        <v>441</v>
      </c>
      <c r="D387" s="9"/>
      <c r="E387" s="9"/>
      <c r="F387" s="9"/>
      <c r="G387" s="9"/>
      <c r="H387" s="9"/>
      <c r="I387" s="9"/>
      <c r="J387" s="9"/>
      <c r="K387" s="9"/>
      <c r="L387" s="16"/>
      <c r="M387" s="16"/>
      <c r="N387" s="16"/>
      <c r="O387" s="16"/>
      <c r="P387" s="16"/>
      <c r="Q387" s="16"/>
      <c r="R387" s="16"/>
      <c r="S387" s="16"/>
      <c r="T387" s="16"/>
      <c r="U387" s="16"/>
    </row>
    <row r="388" spans="1:21" ht="39.75" customHeight="1">
      <c r="A388" s="30"/>
      <c r="B388" s="30"/>
      <c r="C388" s="9" t="s">
        <v>442</v>
      </c>
      <c r="D388" s="9"/>
      <c r="E388" s="9"/>
      <c r="F388" s="9"/>
      <c r="G388" s="9"/>
      <c r="H388" s="9"/>
      <c r="I388" s="9"/>
      <c r="J388" s="9"/>
      <c r="K388" s="9"/>
      <c r="L388" s="16"/>
      <c r="M388" s="16"/>
      <c r="N388" s="16"/>
      <c r="O388" s="16"/>
      <c r="P388" s="16"/>
      <c r="Q388" s="16"/>
      <c r="R388" s="16"/>
      <c r="S388" s="16"/>
      <c r="T388" s="16"/>
      <c r="U388" s="16"/>
    </row>
    <row r="389" spans="1:21" ht="39.75" customHeight="1">
      <c r="A389" s="30"/>
      <c r="B389" s="30"/>
      <c r="C389" s="9" t="s">
        <v>443</v>
      </c>
      <c r="D389" s="9"/>
      <c r="E389" s="9"/>
      <c r="F389" s="9"/>
      <c r="G389" s="9"/>
      <c r="H389" s="9"/>
      <c r="I389" s="9"/>
      <c r="J389" s="9"/>
      <c r="K389" s="9"/>
      <c r="L389" s="16"/>
      <c r="M389" s="16"/>
      <c r="N389" s="16"/>
      <c r="O389" s="16"/>
      <c r="P389" s="16"/>
      <c r="Q389" s="16"/>
      <c r="R389" s="16"/>
      <c r="S389" s="16"/>
      <c r="T389" s="16"/>
      <c r="U389" s="16"/>
    </row>
    <row r="390" spans="1:21" ht="39.75" customHeight="1">
      <c r="A390" s="30"/>
      <c r="B390" s="30"/>
      <c r="C390" s="9" t="s">
        <v>444</v>
      </c>
      <c r="D390" s="9"/>
      <c r="E390" s="9"/>
      <c r="F390" s="9"/>
      <c r="G390" s="9"/>
      <c r="H390" s="9"/>
      <c r="I390" s="9"/>
      <c r="J390" s="9"/>
      <c r="K390" s="9"/>
      <c r="L390" s="16"/>
      <c r="M390" s="16"/>
      <c r="N390" s="16"/>
      <c r="O390" s="16"/>
      <c r="P390" s="16"/>
      <c r="Q390" s="16"/>
      <c r="R390" s="16"/>
      <c r="S390" s="16"/>
      <c r="T390" s="16"/>
      <c r="U390" s="16"/>
    </row>
    <row r="391" spans="1:21" ht="39.75" customHeight="1">
      <c r="A391" s="30"/>
      <c r="B391" s="30"/>
      <c r="C391" s="9" t="s">
        <v>445</v>
      </c>
      <c r="D391" s="9"/>
      <c r="E391" s="9"/>
      <c r="F391" s="9"/>
      <c r="G391" s="9"/>
      <c r="H391" s="9"/>
      <c r="I391" s="9"/>
      <c r="J391" s="9"/>
      <c r="K391" s="9"/>
      <c r="L391" s="16"/>
      <c r="M391" s="16"/>
      <c r="N391" s="16"/>
      <c r="O391" s="16"/>
      <c r="P391" s="16"/>
      <c r="Q391" s="16"/>
      <c r="R391" s="16"/>
      <c r="S391" s="16"/>
      <c r="T391" s="16"/>
      <c r="U391" s="16"/>
    </row>
    <row r="392" spans="1:21" ht="39.75" customHeight="1">
      <c r="A392" s="30"/>
      <c r="B392" s="30"/>
      <c r="C392" s="9" t="s">
        <v>446</v>
      </c>
      <c r="D392" s="9"/>
      <c r="E392" s="9"/>
      <c r="F392" s="9"/>
      <c r="G392" s="9"/>
      <c r="H392" s="9"/>
      <c r="I392" s="9"/>
      <c r="J392" s="9"/>
      <c r="K392" s="9"/>
      <c r="L392" s="16"/>
      <c r="M392" s="16"/>
      <c r="N392" s="16"/>
      <c r="O392" s="16"/>
      <c r="P392" s="16"/>
      <c r="Q392" s="16"/>
      <c r="R392" s="16"/>
      <c r="S392" s="16"/>
      <c r="T392" s="16"/>
      <c r="U392" s="16"/>
    </row>
    <row r="393" spans="1:21" ht="39.75" customHeight="1">
      <c r="A393" s="30"/>
      <c r="B393" s="30"/>
      <c r="C393" s="9" t="s">
        <v>447</v>
      </c>
      <c r="D393" s="9"/>
      <c r="E393" s="9"/>
      <c r="F393" s="9"/>
      <c r="G393" s="9"/>
      <c r="H393" s="9"/>
      <c r="I393" s="9"/>
      <c r="J393" s="9"/>
      <c r="K393" s="9"/>
      <c r="L393" s="16"/>
      <c r="M393" s="16"/>
      <c r="N393" s="16"/>
      <c r="O393" s="16"/>
      <c r="P393" s="16"/>
      <c r="Q393" s="16"/>
      <c r="R393" s="16"/>
      <c r="S393" s="16"/>
      <c r="T393" s="16"/>
      <c r="U393" s="16"/>
    </row>
    <row r="394" spans="1:21" ht="39.75" customHeight="1">
      <c r="A394" s="30"/>
      <c r="B394" s="30"/>
      <c r="C394" s="9" t="s">
        <v>448</v>
      </c>
      <c r="D394" s="9"/>
      <c r="E394" s="9"/>
      <c r="F394" s="9"/>
      <c r="G394" s="9"/>
      <c r="H394" s="9"/>
      <c r="I394" s="9"/>
      <c r="J394" s="9"/>
      <c r="K394" s="9"/>
      <c r="L394" s="16"/>
      <c r="M394" s="16"/>
      <c r="N394" s="16"/>
      <c r="O394" s="16"/>
      <c r="P394" s="16"/>
      <c r="Q394" s="16"/>
      <c r="R394" s="16"/>
      <c r="S394" s="16"/>
      <c r="T394" s="16"/>
      <c r="U394" s="16"/>
    </row>
    <row r="395" spans="1:21" ht="39.75" customHeight="1">
      <c r="A395" s="30"/>
      <c r="B395" s="30"/>
      <c r="C395" s="9" t="s">
        <v>449</v>
      </c>
      <c r="D395" s="9"/>
      <c r="E395" s="9"/>
      <c r="F395" s="9"/>
      <c r="G395" s="9"/>
      <c r="H395" s="9"/>
      <c r="I395" s="9"/>
      <c r="J395" s="9"/>
      <c r="K395" s="9"/>
      <c r="L395" s="16"/>
      <c r="M395" s="16"/>
      <c r="N395" s="16"/>
      <c r="O395" s="16"/>
      <c r="P395" s="16"/>
      <c r="Q395" s="16"/>
      <c r="R395" s="16"/>
      <c r="S395" s="16"/>
      <c r="T395" s="16"/>
      <c r="U395" s="16"/>
    </row>
    <row r="396" spans="1:21" ht="39.75" customHeight="1">
      <c r="A396" s="30"/>
      <c r="B396" s="30"/>
      <c r="C396" s="9" t="s">
        <v>450</v>
      </c>
      <c r="D396" s="9"/>
      <c r="E396" s="9"/>
      <c r="F396" s="9"/>
      <c r="G396" s="9"/>
      <c r="H396" s="9"/>
      <c r="I396" s="9"/>
      <c r="J396" s="9"/>
      <c r="K396" s="9"/>
      <c r="L396" s="16"/>
      <c r="M396" s="16"/>
      <c r="N396" s="16"/>
      <c r="O396" s="16"/>
      <c r="P396" s="16"/>
      <c r="Q396" s="16"/>
      <c r="R396" s="16"/>
      <c r="S396" s="16"/>
      <c r="T396" s="16"/>
      <c r="U396" s="16"/>
    </row>
    <row r="397" spans="1:21" ht="39.75" customHeight="1">
      <c r="A397" s="30"/>
      <c r="B397" s="30"/>
      <c r="C397" s="9" t="s">
        <v>451</v>
      </c>
      <c r="D397" s="9"/>
      <c r="E397" s="9"/>
      <c r="F397" s="9"/>
      <c r="G397" s="9"/>
      <c r="H397" s="9"/>
      <c r="I397" s="9"/>
      <c r="J397" s="9"/>
      <c r="K397" s="9"/>
      <c r="L397" s="16"/>
      <c r="M397" s="16"/>
      <c r="N397" s="16"/>
      <c r="O397" s="16"/>
      <c r="P397" s="16"/>
      <c r="Q397" s="16"/>
      <c r="R397" s="16"/>
      <c r="S397" s="16"/>
      <c r="T397" s="16"/>
      <c r="U397" s="16"/>
    </row>
    <row r="398" spans="1:21" ht="39.75" customHeight="1">
      <c r="A398" s="30"/>
      <c r="B398" s="30"/>
      <c r="C398" s="9" t="s">
        <v>452</v>
      </c>
      <c r="D398" s="9"/>
      <c r="E398" s="9"/>
      <c r="F398" s="9"/>
      <c r="G398" s="9"/>
      <c r="H398" s="9"/>
      <c r="I398" s="9"/>
      <c r="J398" s="9"/>
      <c r="K398" s="9"/>
      <c r="L398" s="16"/>
      <c r="M398" s="16"/>
      <c r="N398" s="16"/>
      <c r="O398" s="16"/>
      <c r="P398" s="16"/>
      <c r="Q398" s="16"/>
      <c r="R398" s="16"/>
      <c r="S398" s="16"/>
      <c r="T398" s="16"/>
      <c r="U398" s="16"/>
    </row>
    <row r="399" spans="1:21" ht="39.75" customHeight="1">
      <c r="A399" s="30"/>
      <c r="B399" s="30"/>
      <c r="C399" s="9" t="s">
        <v>453</v>
      </c>
      <c r="D399" s="9"/>
      <c r="E399" s="9"/>
      <c r="F399" s="9"/>
      <c r="G399" s="9"/>
      <c r="H399" s="9"/>
      <c r="I399" s="9"/>
      <c r="J399" s="9"/>
      <c r="K399" s="9"/>
      <c r="L399" s="16"/>
      <c r="M399" s="16"/>
      <c r="N399" s="16"/>
      <c r="O399" s="16"/>
      <c r="P399" s="16"/>
      <c r="Q399" s="16"/>
      <c r="R399" s="16"/>
      <c r="S399" s="16"/>
      <c r="T399" s="16"/>
      <c r="U399" s="16"/>
    </row>
    <row r="400" spans="1:21" ht="39.75" customHeight="1">
      <c r="A400" s="30"/>
      <c r="B400" s="30"/>
      <c r="C400" s="9" t="s">
        <v>454</v>
      </c>
      <c r="D400" s="9"/>
      <c r="E400" s="9"/>
      <c r="F400" s="9"/>
      <c r="G400" s="9"/>
      <c r="H400" s="9"/>
      <c r="I400" s="9"/>
      <c r="J400" s="9"/>
      <c r="K400" s="9"/>
      <c r="L400" s="16"/>
      <c r="M400" s="16"/>
      <c r="N400" s="16"/>
      <c r="O400" s="16"/>
      <c r="P400" s="16"/>
      <c r="Q400" s="16"/>
      <c r="R400" s="16"/>
      <c r="S400" s="16"/>
      <c r="T400" s="16"/>
      <c r="U400" s="16"/>
    </row>
    <row r="401" spans="1:21" ht="39.75" customHeight="1">
      <c r="A401" s="30"/>
      <c r="B401" s="30"/>
      <c r="C401" s="9" t="s">
        <v>455</v>
      </c>
      <c r="D401" s="9"/>
      <c r="E401" s="9"/>
      <c r="F401" s="9"/>
      <c r="G401" s="9"/>
      <c r="H401" s="9"/>
      <c r="I401" s="9"/>
      <c r="J401" s="9"/>
      <c r="K401" s="9"/>
      <c r="L401" s="16"/>
      <c r="M401" s="16"/>
      <c r="N401" s="16"/>
      <c r="O401" s="16"/>
      <c r="P401" s="16"/>
      <c r="Q401" s="16"/>
      <c r="R401" s="16"/>
      <c r="S401" s="16"/>
      <c r="T401" s="16"/>
      <c r="U401" s="16"/>
    </row>
    <row r="402" spans="1:21" ht="39.75" customHeight="1">
      <c r="A402" s="30"/>
      <c r="B402" s="30"/>
      <c r="C402" s="9" t="s">
        <v>456</v>
      </c>
      <c r="D402" s="9"/>
      <c r="E402" s="9"/>
      <c r="F402" s="9"/>
      <c r="G402" s="9"/>
      <c r="H402" s="9"/>
      <c r="I402" s="9"/>
      <c r="J402" s="9"/>
      <c r="K402" s="9"/>
      <c r="L402" s="16"/>
      <c r="M402" s="16"/>
      <c r="N402" s="16"/>
      <c r="O402" s="16"/>
      <c r="P402" s="16"/>
      <c r="Q402" s="16"/>
      <c r="R402" s="16"/>
      <c r="S402" s="16"/>
      <c r="T402" s="16"/>
      <c r="U402" s="16"/>
    </row>
    <row r="403" spans="1:21" ht="39.75" customHeight="1">
      <c r="A403" s="30"/>
      <c r="B403" s="30"/>
      <c r="C403" s="9" t="s">
        <v>457</v>
      </c>
      <c r="D403" s="9"/>
      <c r="E403" s="9"/>
      <c r="F403" s="9"/>
      <c r="G403" s="9"/>
      <c r="H403" s="9"/>
      <c r="I403" s="9"/>
      <c r="J403" s="9"/>
      <c r="K403" s="9"/>
      <c r="L403" s="16"/>
      <c r="M403" s="16"/>
      <c r="N403" s="16"/>
      <c r="O403" s="16"/>
      <c r="P403" s="16"/>
      <c r="Q403" s="16"/>
      <c r="R403" s="16"/>
      <c r="S403" s="16"/>
      <c r="T403" s="16"/>
      <c r="U403" s="16"/>
    </row>
    <row r="404" spans="1:21" ht="39.75" customHeight="1">
      <c r="A404" s="30"/>
      <c r="B404" s="30"/>
      <c r="C404" s="9" t="s">
        <v>458</v>
      </c>
      <c r="D404" s="9"/>
      <c r="E404" s="9"/>
      <c r="F404" s="9"/>
      <c r="G404" s="9"/>
      <c r="H404" s="9"/>
      <c r="I404" s="9"/>
      <c r="J404" s="9"/>
      <c r="K404" s="9"/>
      <c r="L404" s="16"/>
      <c r="M404" s="16"/>
      <c r="N404" s="16"/>
      <c r="O404" s="16"/>
      <c r="P404" s="16"/>
      <c r="Q404" s="16"/>
      <c r="R404" s="16"/>
      <c r="S404" s="16"/>
      <c r="T404" s="16"/>
      <c r="U404" s="16"/>
    </row>
    <row r="405" spans="1:21" ht="39.75" customHeight="1">
      <c r="A405" s="30"/>
      <c r="B405" s="30"/>
      <c r="C405" s="9" t="s">
        <v>459</v>
      </c>
      <c r="D405" s="9"/>
      <c r="E405" s="9"/>
      <c r="F405" s="9"/>
      <c r="G405" s="9"/>
      <c r="H405" s="9"/>
      <c r="I405" s="9"/>
      <c r="J405" s="9"/>
      <c r="K405" s="9"/>
      <c r="L405" s="16"/>
      <c r="M405" s="16"/>
      <c r="N405" s="16"/>
      <c r="O405" s="16"/>
      <c r="P405" s="16"/>
      <c r="Q405" s="16"/>
      <c r="R405" s="16"/>
      <c r="S405" s="16"/>
      <c r="T405" s="16"/>
      <c r="U405" s="16"/>
    </row>
    <row r="406" spans="1:21" ht="39.75" customHeight="1">
      <c r="A406" s="30"/>
      <c r="B406" s="30"/>
      <c r="C406" s="9" t="s">
        <v>460</v>
      </c>
      <c r="D406" s="9"/>
      <c r="E406" s="9"/>
      <c r="F406" s="9"/>
      <c r="G406" s="9"/>
      <c r="H406" s="9"/>
      <c r="I406" s="9"/>
      <c r="J406" s="9"/>
      <c r="K406" s="9"/>
      <c r="L406" s="16"/>
      <c r="M406" s="16"/>
      <c r="N406" s="16"/>
      <c r="O406" s="16"/>
      <c r="P406" s="16"/>
      <c r="Q406" s="16"/>
      <c r="R406" s="16"/>
      <c r="S406" s="16"/>
      <c r="T406" s="16"/>
      <c r="U406" s="16"/>
    </row>
    <row r="407" spans="1:21" ht="39.75" customHeight="1">
      <c r="A407" s="31"/>
      <c r="B407" s="31"/>
      <c r="C407" s="9" t="s">
        <v>461</v>
      </c>
      <c r="D407" s="9"/>
      <c r="E407" s="9"/>
      <c r="F407" s="9"/>
      <c r="G407" s="9"/>
      <c r="H407" s="9"/>
      <c r="I407" s="9"/>
      <c r="J407" s="9"/>
      <c r="K407" s="9"/>
      <c r="L407" s="16"/>
      <c r="M407" s="16"/>
      <c r="N407" s="16"/>
      <c r="O407" s="16"/>
      <c r="P407" s="16"/>
      <c r="Q407" s="16"/>
      <c r="R407" s="16"/>
      <c r="S407" s="16"/>
      <c r="T407" s="16"/>
      <c r="U407" s="16"/>
    </row>
  </sheetData>
  <mergeCells count="70">
    <mergeCell ref="B189:B196"/>
    <mergeCell ref="B198:B205"/>
    <mergeCell ref="B206:B207"/>
    <mergeCell ref="B208:B210"/>
    <mergeCell ref="B211:B218"/>
    <mergeCell ref="B219:B220"/>
    <mergeCell ref="B284:B286"/>
    <mergeCell ref="B287:B297"/>
    <mergeCell ref="B298:B315"/>
    <mergeCell ref="B316:B320"/>
    <mergeCell ref="B221:B222"/>
    <mergeCell ref="B223:B224"/>
    <mergeCell ref="A235:A320"/>
    <mergeCell ref="B235:B258"/>
    <mergeCell ref="B259:B264"/>
    <mergeCell ref="B265:B275"/>
    <mergeCell ref="B276:B283"/>
    <mergeCell ref="A359:A376"/>
    <mergeCell ref="A377:A407"/>
    <mergeCell ref="B377:B407"/>
    <mergeCell ref="A321:A358"/>
    <mergeCell ref="B321:B354"/>
    <mergeCell ref="B355:B358"/>
    <mergeCell ref="B359:B361"/>
    <mergeCell ref="B362:B364"/>
    <mergeCell ref="B365:B368"/>
    <mergeCell ref="B369:B376"/>
    <mergeCell ref="A1:H1"/>
    <mergeCell ref="I1:O1"/>
    <mergeCell ref="P1:U1"/>
    <mergeCell ref="A3:A13"/>
    <mergeCell ref="B3:B4"/>
    <mergeCell ref="B5:B6"/>
    <mergeCell ref="B7:B8"/>
    <mergeCell ref="B25:B29"/>
    <mergeCell ref="B30:B36"/>
    <mergeCell ref="B9:B11"/>
    <mergeCell ref="B12:B13"/>
    <mergeCell ref="A14:A21"/>
    <mergeCell ref="B17:B18"/>
    <mergeCell ref="B19:B21"/>
    <mergeCell ref="A22:A36"/>
    <mergeCell ref="B22:B24"/>
    <mergeCell ref="B57:B62"/>
    <mergeCell ref="B63:B66"/>
    <mergeCell ref="A53:A77"/>
    <mergeCell ref="A78:A95"/>
    <mergeCell ref="A96:A188"/>
    <mergeCell ref="B91:B95"/>
    <mergeCell ref="B96:B99"/>
    <mergeCell ref="B100:B118"/>
    <mergeCell ref="B119:B130"/>
    <mergeCell ref="B131:B150"/>
    <mergeCell ref="B151:B188"/>
    <mergeCell ref="A189:A205"/>
    <mergeCell ref="A206:A234"/>
    <mergeCell ref="A37:A52"/>
    <mergeCell ref="B37:B41"/>
    <mergeCell ref="B42:B44"/>
    <mergeCell ref="B45:B49"/>
    <mergeCell ref="B50:B52"/>
    <mergeCell ref="B53:B56"/>
    <mergeCell ref="B68:B77"/>
    <mergeCell ref="B225:B226"/>
    <mergeCell ref="B227:B228"/>
    <mergeCell ref="B229:B230"/>
    <mergeCell ref="B231:B232"/>
    <mergeCell ref="B233:B234"/>
    <mergeCell ref="B78:B85"/>
    <mergeCell ref="B86:B90"/>
  </mergeCells>
  <pageMargins left="0.25" right="0.25" top="0.75" bottom="0.75" header="0" footer="0"/>
  <pageSetup paperSize="5" scale="53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U1"/>
  <sheetViews>
    <sheetView workbookViewId="0">
      <selection activeCell="H3" sqref="H3:T13"/>
    </sheetView>
  </sheetViews>
  <sheetFormatPr baseColWidth="10" defaultColWidth="11.1640625" defaultRowHeight="15" customHeight="1"/>
  <cols>
    <col min="1" max="1" width="33.1640625" customWidth="1"/>
    <col min="2" max="2" width="24" customWidth="1"/>
  </cols>
  <sheetData>
    <row r="1" spans="1:21" ht="134.25" customHeight="1">
      <c r="A1" s="17"/>
      <c r="B1" s="17" t="s">
        <v>464</v>
      </c>
      <c r="C1" s="41" t="s">
        <v>24</v>
      </c>
      <c r="D1" s="37"/>
      <c r="E1" s="38"/>
      <c r="F1" s="17" t="s">
        <v>465</v>
      </c>
      <c r="G1" s="42" t="s">
        <v>466</v>
      </c>
      <c r="H1" s="38"/>
      <c r="I1" s="43" t="s">
        <v>0</v>
      </c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8"/>
    </row>
  </sheetData>
  <mergeCells count="3">
    <mergeCell ref="C1:E1"/>
    <mergeCell ref="G1:H1"/>
    <mergeCell ref="I1:U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U1"/>
  <sheetViews>
    <sheetView workbookViewId="0">
      <selection activeCell="H3" sqref="H3:T13"/>
    </sheetView>
  </sheetViews>
  <sheetFormatPr baseColWidth="10" defaultColWidth="11.1640625" defaultRowHeight="15" customHeight="1"/>
  <cols>
    <col min="1" max="1" width="33.1640625" customWidth="1"/>
    <col min="2" max="2" width="24" customWidth="1"/>
  </cols>
  <sheetData>
    <row r="1" spans="1:21" ht="134.25" customHeight="1">
      <c r="A1" s="17"/>
      <c r="B1" s="17" t="s">
        <v>464</v>
      </c>
      <c r="C1" s="41" t="s">
        <v>24</v>
      </c>
      <c r="D1" s="37"/>
      <c r="E1" s="38"/>
      <c r="F1" s="17" t="s">
        <v>465</v>
      </c>
      <c r="G1" s="42" t="s">
        <v>467</v>
      </c>
      <c r="H1" s="38"/>
      <c r="I1" s="43" t="s">
        <v>0</v>
      </c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8"/>
    </row>
  </sheetData>
  <mergeCells count="3">
    <mergeCell ref="C1:E1"/>
    <mergeCell ref="G1:H1"/>
    <mergeCell ref="I1:U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U1"/>
  <sheetViews>
    <sheetView workbookViewId="0">
      <selection activeCell="H3" sqref="H3:T13"/>
    </sheetView>
  </sheetViews>
  <sheetFormatPr baseColWidth="10" defaultColWidth="11.1640625" defaultRowHeight="15" customHeight="1"/>
  <cols>
    <col min="1" max="1" width="33.1640625" customWidth="1"/>
    <col min="2" max="2" width="24" customWidth="1"/>
  </cols>
  <sheetData>
    <row r="1" spans="1:21" ht="134.25" customHeight="1">
      <c r="A1" s="17"/>
      <c r="B1" s="17" t="s">
        <v>464</v>
      </c>
      <c r="C1" s="41" t="s">
        <v>24</v>
      </c>
      <c r="D1" s="37"/>
      <c r="E1" s="38"/>
      <c r="F1" s="17" t="s">
        <v>465</v>
      </c>
      <c r="G1" s="42" t="s">
        <v>468</v>
      </c>
      <c r="H1" s="38"/>
      <c r="I1" s="43" t="s">
        <v>0</v>
      </c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8"/>
    </row>
  </sheetData>
  <mergeCells count="3">
    <mergeCell ref="C1:E1"/>
    <mergeCell ref="G1:H1"/>
    <mergeCell ref="I1:U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T13"/>
  <sheetViews>
    <sheetView workbookViewId="0">
      <selection activeCell="H3" sqref="H3:T13"/>
    </sheetView>
  </sheetViews>
  <sheetFormatPr baseColWidth="10" defaultColWidth="11.1640625" defaultRowHeight="15" customHeight="1"/>
  <cols>
    <col min="1" max="1" width="26.6640625" customWidth="1"/>
    <col min="2" max="2" width="39.5" customWidth="1"/>
    <col min="3" max="3" width="10.33203125" customWidth="1"/>
    <col min="4" max="4" width="22.33203125" customWidth="1"/>
    <col min="5" max="5" width="15.6640625" customWidth="1"/>
    <col min="6" max="6" width="24.1640625" customWidth="1"/>
    <col min="7" max="7" width="13.6640625" customWidth="1"/>
    <col min="19" max="19" width="12.5" customWidth="1"/>
    <col min="20" max="20" width="16.1640625" customWidth="1"/>
  </cols>
  <sheetData>
    <row r="1" spans="1:20" ht="42.75" customHeight="1">
      <c r="A1" s="17" t="s">
        <v>464</v>
      </c>
      <c r="B1" s="41" t="s">
        <v>24</v>
      </c>
      <c r="C1" s="37"/>
      <c r="D1" s="38"/>
      <c r="E1" s="17" t="s">
        <v>465</v>
      </c>
      <c r="F1" s="45" t="s">
        <v>466</v>
      </c>
      <c r="G1" s="46"/>
      <c r="H1" s="43" t="s">
        <v>0</v>
      </c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8"/>
    </row>
    <row r="2" spans="1:20" ht="34">
      <c r="A2" s="2" t="s">
        <v>4</v>
      </c>
      <c r="B2" s="2" t="s">
        <v>5</v>
      </c>
      <c r="C2" s="2" t="s">
        <v>6</v>
      </c>
      <c r="D2" s="2" t="s">
        <v>7</v>
      </c>
      <c r="E2" s="2" t="s">
        <v>8</v>
      </c>
      <c r="F2" s="2" t="s">
        <v>9</v>
      </c>
      <c r="G2" s="2" t="s">
        <v>10</v>
      </c>
      <c r="H2" s="2" t="s">
        <v>11</v>
      </c>
      <c r="I2" s="3" t="s">
        <v>12</v>
      </c>
      <c r="J2" s="3" t="s">
        <v>13</v>
      </c>
      <c r="K2" s="3" t="s">
        <v>469</v>
      </c>
      <c r="L2" s="3" t="s">
        <v>15</v>
      </c>
      <c r="M2" s="3" t="s">
        <v>16</v>
      </c>
      <c r="N2" s="3" t="s">
        <v>17</v>
      </c>
      <c r="O2" s="3" t="s">
        <v>18</v>
      </c>
      <c r="P2" s="3" t="s">
        <v>19</v>
      </c>
      <c r="Q2" s="3" t="s">
        <v>20</v>
      </c>
      <c r="R2" s="3" t="s">
        <v>21</v>
      </c>
      <c r="S2" s="3" t="s">
        <v>22</v>
      </c>
      <c r="T2" s="2" t="s">
        <v>23</v>
      </c>
    </row>
    <row r="3" spans="1:20" ht="36" customHeight="1">
      <c r="A3" s="44" t="s">
        <v>24</v>
      </c>
      <c r="B3" s="19" t="s">
        <v>25</v>
      </c>
      <c r="C3" s="20">
        <v>180</v>
      </c>
      <c r="D3" s="5" t="s">
        <v>470</v>
      </c>
      <c r="E3" s="20" t="s">
        <v>471</v>
      </c>
      <c r="F3" s="20" t="s">
        <v>472</v>
      </c>
      <c r="G3" s="21" t="e">
        <f>((T3/C3)*EXT!A1)</f>
        <v>#REF!</v>
      </c>
      <c r="H3" s="20" t="e">
        <f>SUMIFS(CITASPRESIDENCIA,PERIODOPRESIDENCIA,F1,MESAREPORTARPRESIDENCIA,H2)</f>
        <v>#REF!</v>
      </c>
      <c r="I3" s="20" t="e">
        <f>SUMIFS(CITASPRESIDENCIA,PERIODOPRESIDENCIA,F1,MESAREPORTARPRESIDENCIA,I2)</f>
        <v>#REF!</v>
      </c>
      <c r="J3" s="20" t="e">
        <f>SUMIFS(CITASPRESIDENCIA,PERIODOPRESIDENCIA,F1,MESAREPORTARPRESIDENCIA,J2)</f>
        <v>#REF!</v>
      </c>
      <c r="K3" s="20" t="e">
        <f>SUMIFS(CITASPRESIDENCIA,PERIODOPRESIDENCIA,F1,MESAREPORTARPRESIDENCIA,K2)</f>
        <v>#REF!</v>
      </c>
      <c r="L3" s="20" t="e">
        <f>SUMIFS(CITASPRESIDENCIA,PERIODOPRESIDENCIA,F1,MESAREPORTARPRESIDENCIA,L2)</f>
        <v>#REF!</v>
      </c>
      <c r="M3" s="20" t="e">
        <f>SUMIFS(CITASPRESIDENCIA,PERIODOPRESIDENCIA,F1,MESAREPORTARPRESIDENCIA,M2)</f>
        <v>#REF!</v>
      </c>
      <c r="N3" s="20" t="e">
        <f>SUMIFS(CITASPRESIDENCIA,PERIODOPRESIDENCIA,F1,MESAREPORTARPRESIDENCIA,N2)</f>
        <v>#REF!</v>
      </c>
      <c r="O3" s="20" t="e">
        <f>SUMIFS(CITASPRESIDENCIA,PERIODOPRESIDENCIA,F1,MESAREPORTARPRESIDENCIA,O2)</f>
        <v>#REF!</v>
      </c>
      <c r="P3" s="20" t="e">
        <f>SUMIFS(CITASPRESIDENCIA,PERIODOPRESIDENCIA,F1,MESAREPORTARPRESIDENCIA,P2)</f>
        <v>#REF!</v>
      </c>
      <c r="Q3" s="20" t="e">
        <f>SUMIFS(CITASPRESIDENCIA,PERIODOPRESIDENCIA,F1,MESAREPORTARPRESIDENCIA,Q2)</f>
        <v>#REF!</v>
      </c>
      <c r="R3" s="20" t="e">
        <f>SUMIFS(CITASPRESIDENCIA,PERIODOPRESIDENCIA,F1,MESAREPORTARPRESIDENCIA,R2)</f>
        <v>#REF!</v>
      </c>
      <c r="S3" s="20" t="e">
        <f>SUMIFS(CITASPRESIDENCIA,PERIODOPRESIDENCIA,F1,MESAREPORTARPRESIDENCIA,S2)</f>
        <v>#REF!</v>
      </c>
      <c r="T3" s="22" t="e">
        <f t="shared" ref="T3:T13" si="0">SUM(H3:S3)</f>
        <v>#REF!</v>
      </c>
    </row>
    <row r="4" spans="1:20" ht="36" customHeight="1">
      <c r="A4" s="31"/>
      <c r="B4" s="19" t="s">
        <v>26</v>
      </c>
      <c r="C4" s="20">
        <v>780</v>
      </c>
      <c r="D4" s="5" t="s">
        <v>473</v>
      </c>
      <c r="E4" s="20" t="s">
        <v>471</v>
      </c>
      <c r="F4" s="20" t="s">
        <v>472</v>
      </c>
      <c r="G4" s="21" t="e">
        <f>((T4/C4)*EXT!A2)</f>
        <v>#REF!</v>
      </c>
      <c r="H4" s="20" t="e">
        <f>SUMIFS(PERSONASATENDIDASPRESIDENCIA,PERIODOPRESIDENCIA,F1,MESAREPORTARPRESIDENCIA,H2)</f>
        <v>#REF!</v>
      </c>
      <c r="I4" s="20" t="e">
        <f>SUMIFS(PERSONASATENDIDASPRESIDENCIA,PERIODOPRESIDENCIA,F1,MESAREPORTARPRESIDENCIA,I2)</f>
        <v>#REF!</v>
      </c>
      <c r="J4" s="20" t="e">
        <f>SUMIFS(PERSONASATENDIDASPRESIDENCIA,PERIODOPRESIDENCIA,F1,MESAREPORTARPRESIDENCIA,J2)</f>
        <v>#REF!</v>
      </c>
      <c r="K4" s="20" t="e">
        <f>SUMIFS(PERSONASATENDIDASPRESIDENCIA,PERIODOPRESIDENCIA,F1,MESAREPORTARPRESIDENCIA,K2)</f>
        <v>#REF!</v>
      </c>
      <c r="L4" s="20" t="e">
        <f>SUMIFS(PERSONASATENDIDASPRESIDENCIA,PERIODOPRESIDENCIA,F1,MESAREPORTARPRESIDENCIA,L2)</f>
        <v>#REF!</v>
      </c>
      <c r="M4" s="20" t="e">
        <f>SUMIFS(PERSONASATENDIDASPRESIDENCIA,PERIODOPRESIDENCIA,H1,MESAREPORTARPRESIDENCIA,M2)</f>
        <v>#REF!</v>
      </c>
      <c r="N4" s="20" t="e">
        <f>SUMIFS(PERSONASATENDIDASPRESIDENCIA,PERIODOPRESIDENCIA,F1,MESAREPORTARPRESIDENCIA,N2)</f>
        <v>#REF!</v>
      </c>
      <c r="O4" s="20" t="e">
        <f>SUMIFS(PERSONASATENDIDASPRESIDENCIA,PERIODOPRESIDENCIA,F1,MESAREPORTARPRESIDENCIA,O2)</f>
        <v>#REF!</v>
      </c>
      <c r="P4" s="20" t="e">
        <f>SUMIFS(PERSONASATENDIDASPRESIDENCIA,PERIODOPRESIDENCIA,F1,MESAREPORTARPRESIDENCIA,P2)</f>
        <v>#REF!</v>
      </c>
      <c r="Q4" s="20" t="e">
        <f>SUMIFS(PERSONASATENDIDASPRESIDENCIA,PERIODOPRESIDENCIA,F1,MESAREPORTARPRESIDENCIA,Q2)</f>
        <v>#REF!</v>
      </c>
      <c r="R4" s="20" t="e">
        <f>SUMIFS(PERSONASATENDIDASPRESIDENCIA,PERIODOPRESIDENCIA,F1,MESAREPORTARPRESIDENCIA,R2)</f>
        <v>#REF!</v>
      </c>
      <c r="S4" s="20" t="e">
        <f>SUMIFS(PERSONASATENDIDASPRESIDENCIA,PERIODOPRESIDENCIA,F1,MESAREPORTARPRESIDENCIA,S2)</f>
        <v>#REF!</v>
      </c>
      <c r="T4" s="22" t="e">
        <f t="shared" si="0"/>
        <v>#REF!</v>
      </c>
    </row>
    <row r="5" spans="1:20" ht="36.75" customHeight="1">
      <c r="A5" s="44" t="s">
        <v>27</v>
      </c>
      <c r="B5" s="19" t="s">
        <v>26</v>
      </c>
      <c r="C5" s="20">
        <v>780</v>
      </c>
      <c r="D5" s="5" t="s">
        <v>474</v>
      </c>
      <c r="E5" s="20" t="s">
        <v>471</v>
      </c>
      <c r="F5" s="20" t="s">
        <v>472</v>
      </c>
      <c r="G5" s="21" t="e">
        <f>((T5/C5)*EXT!A3)</f>
        <v>#REF!</v>
      </c>
      <c r="H5" s="20" t="e">
        <f>SUMIFS(PERSONASPRESIDENCIA,PERIODOPRESIDENCIA,F1,MESAREPORTARPRESIDENCIA,H2)</f>
        <v>#REF!</v>
      </c>
      <c r="I5" s="20" t="e">
        <f>SUMIFS(PERSONASPRESIDENCIA,PERIODOPRESIDENCIA,F1,MESAREPORTARPRESIDENCIA,I2)</f>
        <v>#REF!</v>
      </c>
      <c r="J5" s="20" t="e">
        <f>SUMIFS(PERSONASPRESIDENCIA,PERIODOPRESIDENCIA,H1,MESAREPORTARPRESIDENCIA,J2)</f>
        <v>#REF!</v>
      </c>
      <c r="K5" s="20" t="e">
        <f>SUMIFS(PERSONASPRESIDENCIA,PERIODOPRESIDENCIA,F1,MESAREPORTARPRESIDENCIA,K2)</f>
        <v>#REF!</v>
      </c>
      <c r="L5" s="20" t="e">
        <f>SUMIFS(PERSONASPRESIDENCIA,PERIODOPRESIDENCIA,F1,MESAREPORTARPRESIDENCIA,L2)</f>
        <v>#REF!</v>
      </c>
      <c r="M5" s="20" t="e">
        <f>SUMIFS(PERSONASPRESIDENCIA,PERIODOPRESIDENCIA,H1,MESAREPORTARPRESIDENCIA,M2)</f>
        <v>#REF!</v>
      </c>
      <c r="N5" s="20" t="e">
        <f>SUMIFS(PERSONASPRESIDENCIA,PERIODOPRESIDENCIA,F1,MESAREPORTARPRESIDENCIA,N2)</f>
        <v>#REF!</v>
      </c>
      <c r="O5" s="20" t="e">
        <f>SUMIFS(PERSONASPRESIDENCIA,PERIODOPRESIDENCIA,F1,MESAREPORTARPRESIDENCIA,O2)</f>
        <v>#REF!</v>
      </c>
      <c r="P5" s="20" t="e">
        <f>SUMIFS(PERSONASPRESIDENCIA,PERIODOPRESIDENCIA,F1,MESAREPORTARPRESIDENCIA,P2)</f>
        <v>#REF!</v>
      </c>
      <c r="Q5" s="20" t="e">
        <f>SUMIFS(PERSONASPRESIDENCIA,PERIODOPRESIDENCIA,F1,MESAREPORTARPRESIDENCIA,Q2)</f>
        <v>#REF!</v>
      </c>
      <c r="R5" s="20" t="e">
        <f>SUMIFS(PERSONASPRESIDENCIA,PERIODOPRESIDENCIA,F1,MESAREPORTARPRESIDENCIA,R2)</f>
        <v>#REF!</v>
      </c>
      <c r="S5" s="20" t="e">
        <f>SUMIFS(PERSONASPRESIDENCIA,PERIODOPRESIDENCIA,F1,MESAREPORTARPRESIDENCIA,S2)</f>
        <v>#REF!</v>
      </c>
      <c r="T5" s="22" t="e">
        <f t="shared" si="0"/>
        <v>#REF!</v>
      </c>
    </row>
    <row r="6" spans="1:20" ht="33.75" customHeight="1">
      <c r="A6" s="31"/>
      <c r="B6" s="19" t="s">
        <v>28</v>
      </c>
      <c r="C6" s="20">
        <v>100</v>
      </c>
      <c r="D6" s="5" t="s">
        <v>475</v>
      </c>
      <c r="E6" s="20" t="s">
        <v>471</v>
      </c>
      <c r="F6" s="20" t="s">
        <v>476</v>
      </c>
      <c r="G6" s="21" t="e">
        <f>((T6/C6)*EXT!A4)</f>
        <v>#REF!</v>
      </c>
      <c r="H6" s="20" t="e">
        <f>SUMIFS(ACUERDOSPRESIDENCIA,PERIODOPRESIDENCIA,F1,MESAREPORTARPRESIDENCIA,H2)</f>
        <v>#REF!</v>
      </c>
      <c r="I6" s="20" t="e">
        <f>SUMIFS(ACUERDOSPRESIDENCIA,PERIODOPRESIDENCIA,F1,MESAREPORTARPRESIDENCIA,I2)</f>
        <v>#REF!</v>
      </c>
      <c r="J6" s="20" t="e">
        <f>SUMIFS(ACUERDOSPRESIDENCIA,PERIODOPRESIDENCIA,F1,MESAREPORTARPRESIDENCIA,J2)</f>
        <v>#REF!</v>
      </c>
      <c r="K6" s="20" t="e">
        <f>SUMIFS(ACUERDOSPRESIDENCIA,PERIODOPRESIDENCIA,F1,MESAREPORTARPRESIDENCIA,K2)</f>
        <v>#REF!</v>
      </c>
      <c r="L6" s="20" t="e">
        <f>SUMIFS(ACUERDOSPRESIDENCIA,PERIODOPRESIDENCIA,F1,MESAREPORTARPRESIDENCIA,L2)</f>
        <v>#REF!</v>
      </c>
      <c r="M6" s="20" t="e">
        <f>SUMIFS(ACUERDOSPRESIDENCIA,PERIODOPRESIDENCIA,F1,MESAREPORTARPRESIDENCIA,M2)</f>
        <v>#REF!</v>
      </c>
      <c r="N6" s="20" t="e">
        <f>SUMIFS(ACUERDOSPRESIDENCIA,PERIODOPRESIDENCIA,F1,MESAREPORTARPRESIDENCIA,N2)</f>
        <v>#REF!</v>
      </c>
      <c r="O6" s="20" t="e">
        <f>SUMIFS(ACUERDOSPRESIDENCIA,PERIODOPRESIDENCIA,F1,MESAREPORTARPRESIDENCIA,O2)</f>
        <v>#REF!</v>
      </c>
      <c r="P6" s="20" t="e">
        <f>SUMIFS(ACUERDOSPRESIDENCIA,PERIODOPRESIDENCIA,F1,MESAREPORTARPRESIDENCIA,P2)</f>
        <v>#REF!</v>
      </c>
      <c r="Q6" s="20" t="e">
        <f>SUMIFS(ACUERDOSPRESIDENCIA,PERIODOPRESIDENCIA,F1,MESAREPORTARPRESIDENCIA,Q2)</f>
        <v>#REF!</v>
      </c>
      <c r="R6" s="20" t="e">
        <f>SUMIFS(ACUERDOSPRESIDENCIA,PERIODOPRESIDENCIA,F1,MESAREPORTARPRESIDENCIA,R2)</f>
        <v>#REF!</v>
      </c>
      <c r="S6" s="20" t="e">
        <f>SUMIFS(ACUERDOSPRESIDENCIA,PERIODOPRESIDENCIA,F1,MESAREPORTARPRESIDENCIA,S2)</f>
        <v>#REF!</v>
      </c>
      <c r="T6" s="22" t="e">
        <f t="shared" si="0"/>
        <v>#REF!</v>
      </c>
    </row>
    <row r="7" spans="1:20" ht="34.5" customHeight="1">
      <c r="A7" s="44" t="s">
        <v>29</v>
      </c>
      <c r="B7" s="19" t="s">
        <v>30</v>
      </c>
      <c r="C7" s="20">
        <v>350</v>
      </c>
      <c r="D7" s="5" t="s">
        <v>477</v>
      </c>
      <c r="E7" s="20" t="s">
        <v>471</v>
      </c>
      <c r="F7" s="20" t="s">
        <v>478</v>
      </c>
      <c r="G7" s="21" t="e">
        <f>((T7/C7)*EXT!A5)</f>
        <v>#REF!</v>
      </c>
      <c r="H7" s="20" t="e">
        <f>SUMIFS(SOLICITUDESPRESIDENCIA,PERIODOPRESIDENCIA,F1,MESAREPORTARPRESIDENCIA,H2)</f>
        <v>#REF!</v>
      </c>
      <c r="I7" s="20" t="e">
        <f>SUMIFS(SOLICITUDESPRESIDENCIA,PERIODOPRESIDENCIA,F1,MESAREPORTARPRESIDENCIA,I2)</f>
        <v>#REF!</v>
      </c>
      <c r="J7" s="20" t="e">
        <f>SUMIFS(SOLICITUDESPRESIDENCIA,PERIODOPRESIDENCIA,F1,MESAREPORTARPRESIDENCIA,J2)</f>
        <v>#REF!</v>
      </c>
      <c r="K7" s="20" t="e">
        <f>SUMIFS(SOLICITUDESPRESIDENCIA,PERIODOPRESIDENCIA,F1,MESAREPORTARPRESIDENCIA,K2)</f>
        <v>#REF!</v>
      </c>
      <c r="L7" s="20" t="e">
        <f>SUMIFS(SOLICITUDESPRESIDENCIA,PERIODOPRESIDENCIA,F1,MESAREPORTARPRESIDENCIA,L2)</f>
        <v>#REF!</v>
      </c>
      <c r="M7" s="20" t="e">
        <f>SUMIFS(SOLICITUDESPRESIDENCIA,PERIODOPRESIDENCIA,F1,MESAREPORTARPRESIDENCIA,M2)</f>
        <v>#REF!</v>
      </c>
      <c r="N7" s="20" t="e">
        <f>SUMIFS(SOLICITUDESPRESIDENCIA,PERIODOPRESIDENCIA,F1,MESAREPORTARPRESIDENCIA,N2)</f>
        <v>#REF!</v>
      </c>
      <c r="O7" s="20" t="e">
        <f>SUMIFS(SOLICITUDESPRESIDENCIA,PERIODOPRESIDENCIA,F1,MESAREPORTARPRESIDENCIA,O2)</f>
        <v>#REF!</v>
      </c>
      <c r="P7" s="20" t="e">
        <f>SUMIFS(SOLICITUDESPRESIDENCIA,PERIODOPRESIDENCIA,F1,MESAREPORTARPRESIDENCIA,P2)</f>
        <v>#REF!</v>
      </c>
      <c r="Q7" s="20" t="e">
        <f>SUMIFS(SOLICITUDESPRESIDENCIA,PERIODOPRESIDENCIA,F1,MESAREPORTARPRESIDENCIA,Q2)</f>
        <v>#REF!</v>
      </c>
      <c r="R7" s="20" t="e">
        <f>SUMIFS(SOLICITUDESPRESIDENCIA,PERIODOPRESIDENCIA,F1,MESAREPORTARPRESIDENCIA,R2)</f>
        <v>#REF!</v>
      </c>
      <c r="S7" s="20" t="e">
        <f>SUMIFS(SOLICITUDESPRESIDENCIA,PERIODOPRESIDENCIA,F1,MESAREPORTARPRESIDENCIA,S2)</f>
        <v>#REF!</v>
      </c>
      <c r="T7" s="22" t="e">
        <f t="shared" si="0"/>
        <v>#REF!</v>
      </c>
    </row>
    <row r="8" spans="1:20" ht="33" customHeight="1">
      <c r="A8" s="31"/>
      <c r="B8" s="19" t="s">
        <v>31</v>
      </c>
      <c r="C8" s="20">
        <v>12</v>
      </c>
      <c r="D8" s="5" t="s">
        <v>479</v>
      </c>
      <c r="E8" s="20" t="s">
        <v>471</v>
      </c>
      <c r="F8" s="5" t="s">
        <v>480</v>
      </c>
      <c r="G8" s="21" t="e">
        <f>((T8/C8)*EXT!A6)</f>
        <v>#REF!</v>
      </c>
      <c r="H8" s="20" t="e">
        <f>SUMIFS(CAPACITACIONESPRESIDENCIA,PERIODOPRESIDENCIA,F1,MESAREPORTARPRESIDENCIA,H2)</f>
        <v>#REF!</v>
      </c>
      <c r="I8" s="20" t="e">
        <f>SUMIFS(CAPACITACIONESPRESIDENCIA,PERIODOPRESIDENCIA,F1,MESAREPORTARPRESIDENCIA,I2)</f>
        <v>#REF!</v>
      </c>
      <c r="J8" s="20" t="e">
        <f>SUMIFS(CAPACITACIONESPRESIDENCIA,PERIODOPRESIDENCIA,F1,MESAREPORTARPRESIDENCIA,J2)</f>
        <v>#REF!</v>
      </c>
      <c r="K8" s="20" t="e">
        <f>SUMIFS(CAPACITACIONESPRESIDENCIA,PERIODOPRESIDENCIA,F1,MESAREPORTARPRESIDENCIA,K2)</f>
        <v>#REF!</v>
      </c>
      <c r="L8" s="20" t="e">
        <f>SUMIFS(CAPACITACIONESPRESIDENCIA,PERIODOPRESIDENCIA,F1,MESAREPORTARPRESIDENCIA,L2)</f>
        <v>#REF!</v>
      </c>
      <c r="M8" s="20" t="e">
        <f>SUMIFS(CAPACITACIONESPRESIDENCIA,PERIODOPRESIDENCIA,F1,MESAREPORTARPRESIDENCIA,M2)</f>
        <v>#REF!</v>
      </c>
      <c r="N8" s="20" t="e">
        <f>SUMIFS(CAPACITACIONESPRESIDENCIA,PERIODOPRESIDENCIA,F1,MESAREPORTARPRESIDENCIA,N2)</f>
        <v>#REF!</v>
      </c>
      <c r="O8" s="20" t="e">
        <f>SUMIFS(CAPACITACIONESPRESIDENCIA,PERIODOPRESIDENCIA,F1,MESAREPORTARPRESIDENCIA,O2)</f>
        <v>#REF!</v>
      </c>
      <c r="P8" s="20" t="e">
        <f>SUMIFS(CAPACITACIONESPRESIDENCIA,PERIODOPRESIDENCIA,F1,MESAREPORTARPRESIDENCIA,P2)</f>
        <v>#REF!</v>
      </c>
      <c r="Q8" s="20" t="e">
        <f>SUMIFS(CAPACITACIONESPRESIDENCIA,PERIODOPRESIDENCIA,F1,MESAREPORTARPRESIDENCIA,Q2)</f>
        <v>#REF!</v>
      </c>
      <c r="R8" s="20" t="e">
        <f>SUMIFS(CAPACITACIONESPRESIDENCIA,PERIODOPRESIDENCIA,F1,MESAREPORTARPRESIDENCIA,R2)</f>
        <v>#REF!</v>
      </c>
      <c r="S8" s="20" t="e">
        <f>SUMIFS(CAPACITACIONESPRESIDENCIA,PERIODOPRESIDENCIA,F1,MESAREPORTARPRESIDENCIA,S2)</f>
        <v>#REF!</v>
      </c>
      <c r="T8" s="22" t="e">
        <f t="shared" si="0"/>
        <v>#REF!</v>
      </c>
    </row>
    <row r="9" spans="1:20" ht="34">
      <c r="A9" s="44" t="s">
        <v>32</v>
      </c>
      <c r="B9" s="19" t="s">
        <v>33</v>
      </c>
      <c r="C9" s="20">
        <v>520</v>
      </c>
      <c r="D9" s="5" t="s">
        <v>481</v>
      </c>
      <c r="E9" s="20" t="s">
        <v>471</v>
      </c>
      <c r="F9" s="20" t="s">
        <v>482</v>
      </c>
      <c r="G9" s="21" t="e">
        <f>((T9/C9)*EXT!A7)</f>
        <v>#REF!</v>
      </c>
      <c r="H9" s="20" t="e">
        <f>SUMIFS(NOTASPRESIDENCIA,PERIODOPRESIDENCIA,F1,MESAREPORTARPRESIDENCIA,H2)</f>
        <v>#REF!</v>
      </c>
      <c r="I9" s="20" t="e">
        <f>SUMIFS(NOTASPRESIDENCIA,PERIODOPRESIDENCIA,F1,MESAREPORTARPRESIDENCIA,I2)</f>
        <v>#REF!</v>
      </c>
      <c r="J9" s="20" t="e">
        <f>SUMIFS(NOTASPRESIDENCIA,PERIODOPRESIDENCIA,F1,MESAREPORTARPRESIDENCIA,J2)</f>
        <v>#REF!</v>
      </c>
      <c r="K9" s="20" t="e">
        <f>SUMIFS(NOTASPRESIDENCIA,PERIODOPRESIDENCIA,F1,MESAREPORTARPRESIDENCIA,K2)</f>
        <v>#REF!</v>
      </c>
      <c r="L9" s="20" t="e">
        <f>SUMIFS(NOTASPRESIDENCIA,PERIODOPRESIDENCIA,F1,MESAREPORTARPRESIDENCIA,L2)</f>
        <v>#REF!</v>
      </c>
      <c r="M9" s="20" t="e">
        <f>SUMIFS(NOTASPRESIDENCIA,PERIODOPRESIDENCIA,F1,MESAREPORTARPRESIDENCIA,M2)</f>
        <v>#REF!</v>
      </c>
      <c r="N9" s="20" t="e">
        <f>SUMIFS(NOTASPRESIDENCIA,PERIODOPRESIDENCIA,F1,MESAREPORTARPRESIDENCIA,N2)</f>
        <v>#REF!</v>
      </c>
      <c r="O9" s="20" t="e">
        <f>SUMIFS(NOTASPRESIDENCIA,PERIODOPRESIDENCIA,F1,MESAREPORTARPRESIDENCIA,O2)</f>
        <v>#REF!</v>
      </c>
      <c r="P9" s="20" t="e">
        <f>SUMIFS(NOTASPRESIDENCIA,PERIODOPRESIDENCIA,F1,MESAREPORTARPRESIDENCIA,P2)</f>
        <v>#REF!</v>
      </c>
      <c r="Q9" s="20" t="e">
        <f>SUMIFS(NOTASPRESIDENCIA,PERIODOPRESIDENCIA,F1,MESAREPORTARPRESIDENCIA,Q2)</f>
        <v>#REF!</v>
      </c>
      <c r="R9" s="20" t="e">
        <f>SUMIFS(NOTASPRESIDENCIA,PERIODOPRESIDENCIA,F1,MESAREPORTARPRESIDENCIA,R2)</f>
        <v>#REF!</v>
      </c>
      <c r="S9" s="20" t="e">
        <f>SUMIFS(NOTASPRESIDENCIA,PERIODOPRESIDENCIA,F1,MESAREPORTARPRESIDENCIA,S2)</f>
        <v>#REF!</v>
      </c>
      <c r="T9" s="22" t="e">
        <f t="shared" si="0"/>
        <v>#REF!</v>
      </c>
    </row>
    <row r="10" spans="1:20" ht="34">
      <c r="A10" s="30"/>
      <c r="B10" s="19" t="s">
        <v>34</v>
      </c>
      <c r="C10" s="20">
        <v>500</v>
      </c>
      <c r="D10" s="5" t="s">
        <v>483</v>
      </c>
      <c r="E10" s="20" t="s">
        <v>471</v>
      </c>
      <c r="F10" s="20" t="s">
        <v>482</v>
      </c>
      <c r="G10" s="21" t="e">
        <f>((T10/C10)*EXT!A8)</f>
        <v>#REF!</v>
      </c>
      <c r="H10" s="20" t="e">
        <f>SUMIFS(DISEÑOSPRESIDENCIA,PERIODOPRESIDENCIA,F1,MESAREPORTARPRESIDENCIA,H2)</f>
        <v>#REF!</v>
      </c>
      <c r="I10" s="20" t="e">
        <f>SUMIFS(DISEÑOSPRESIDENCIA,PERIODOPRESIDENCIA,F1,MESAREPORTARPRESIDENCIA,I2)</f>
        <v>#REF!</v>
      </c>
      <c r="J10" s="20" t="e">
        <f>SUMIFS(DISEÑOSPRESIDENCIA,PERIODOPRESIDENCIA,F1,MESAREPORTARPRESIDENCIA,J2)</f>
        <v>#REF!</v>
      </c>
      <c r="K10" s="20" t="e">
        <f>SUMIFS(DISEÑOSPRESIDENCIA,PERIODOPRESIDENCIA,F1,MESAREPORTARPRESIDENCIA,K2)</f>
        <v>#REF!</v>
      </c>
      <c r="L10" s="20" t="e">
        <f>SUMIFS(DISEÑOSPRESIDENCIA,PERIODOPRESIDENCIA,F1,MESAREPORTARPRESIDENCIA,L2)</f>
        <v>#REF!</v>
      </c>
      <c r="M10" s="20" t="e">
        <f>SUMIFS(DISEÑOSPRESIDENCIA,PERIODOPRESIDENCIA,F1,MESAREPORTARPRESIDENCIA,M2)</f>
        <v>#REF!</v>
      </c>
      <c r="N10" s="20" t="e">
        <f>SUMIFS(DISEÑOSPRESIDENCIA,PERIODOPRESIDENCIA,F1,MESAREPORTARPRESIDENCIA,N2)</f>
        <v>#REF!</v>
      </c>
      <c r="O10" s="20" t="e">
        <f>SUMIFS(DISEÑOSPRESIDENCIA,PERIODOPRESIDENCIA,F1,MESAREPORTARPRESIDENCIA,O2)</f>
        <v>#REF!</v>
      </c>
      <c r="P10" s="20" t="e">
        <f>SUMIFS(DISEÑOSPRESIDENCIA,PERIODOPRESIDENCIA,F1,MESAREPORTARPRESIDENCIA,P2)</f>
        <v>#REF!</v>
      </c>
      <c r="Q10" s="20" t="e">
        <f>SUMIFS(DISEÑOSPRESIDENCIA,PERIODOPRESIDENCIA,F1,MESAREPORTARPRESIDENCIA,Q2)</f>
        <v>#REF!</v>
      </c>
      <c r="R10" s="20" t="e">
        <f>SUMIFS(DISEÑOSPRESIDENCIA,PERIODOPRESIDENCIA,F1,MESAREPORTARPRESIDENCIA,R2)</f>
        <v>#REF!</v>
      </c>
      <c r="S10" s="20" t="e">
        <f>SUMIFS(DISEÑOSPRESIDENCIA,PERIODOPRESIDENCIA,F1,MESAREPORTARPRESIDENCIA,S2)</f>
        <v>#REF!</v>
      </c>
      <c r="T10" s="22" t="e">
        <f t="shared" si="0"/>
        <v>#REF!</v>
      </c>
    </row>
    <row r="11" spans="1:20" ht="34">
      <c r="A11" s="31"/>
      <c r="B11" s="19" t="s">
        <v>35</v>
      </c>
      <c r="C11" s="20">
        <v>320</v>
      </c>
      <c r="D11" s="5" t="s">
        <v>484</v>
      </c>
      <c r="E11" s="20" t="s">
        <v>471</v>
      </c>
      <c r="F11" s="20" t="s">
        <v>482</v>
      </c>
      <c r="G11" s="21" t="e">
        <f>((T11/C11)*EXT!A9)</f>
        <v>#REF!</v>
      </c>
      <c r="H11" s="20" t="e">
        <f>SUMIFS(PUBLICACIONESPRESIDENCIA,PERIODOPRESIDENCIA,F1,MESAREPORTARPRESIDENCIA,H2)</f>
        <v>#REF!</v>
      </c>
      <c r="I11" s="20" t="e">
        <f>SUMIFS(PUBLICACIONESPRESIDENCIA,PERIODOPRESIDENCIA,F1,MESAREPORTARPRESIDENCIA,I2)</f>
        <v>#REF!</v>
      </c>
      <c r="J11" s="20" t="e">
        <f>SUMIFS(PUBLICACIONESPRESIDENCIA,PERIODOPRESIDENCIA,F1,MESAREPORTARPRESIDENCIA,J2)</f>
        <v>#REF!</v>
      </c>
      <c r="K11" s="20" t="e">
        <f>SUMIFS(PUBLICACIONESPRESIDENCIA,PERIODOPRESIDENCIA,F1,MESAREPORTARPRESIDENCIA,K2)</f>
        <v>#REF!</v>
      </c>
      <c r="L11" s="20" t="e">
        <f>SUMIFS(PUBLICACIONESPRESIDENCIA,PERIODOPRESIDENCIA,F1,MESAREPORTARPRESIDENCIA,L2)</f>
        <v>#REF!</v>
      </c>
      <c r="M11" s="20" t="e">
        <f>SUMIFS(PUBLICACIONESPRESIDENCIA,PERIODOPRESIDENCIA,F1,MESAREPORTARPRESIDENCIA,M2)</f>
        <v>#REF!</v>
      </c>
      <c r="N11" s="20" t="e">
        <f>SUMIFS(PUBLICACIONESPRESIDENCIA,PERIODOPRESIDENCIA,F1,MESAREPORTARPRESIDENCIA,N2)</f>
        <v>#REF!</v>
      </c>
      <c r="O11" s="20" t="e">
        <f>SUMIFS(PUBLICACIONESPRESIDENCIA,PERIODOPRESIDENCIA,F1,MESAREPORTARPRESIDENCIA,O2)</f>
        <v>#REF!</v>
      </c>
      <c r="P11" s="20" t="e">
        <f>SUMIFS(PUBLICACIONESPRESIDENCIA,PERIODOPRESIDENCIA,F1,MESAREPORTARPRESIDENCIA,P2)</f>
        <v>#REF!</v>
      </c>
      <c r="Q11" s="20" t="e">
        <f>SUMIFS(PUBLICACIONESPRESIDENCIA,PERIODOPRESIDENCIA,F1,MESAREPORTARPRESIDENCIA,Q2)</f>
        <v>#REF!</v>
      </c>
      <c r="R11" s="20" t="e">
        <f>SUMIFS(PUBLICACIONESPRESIDENCIA,PERIODOPRESIDENCIA,F1,MESAREPORTARPRESIDENCIA,R2)</f>
        <v>#REF!</v>
      </c>
      <c r="S11" s="20" t="e">
        <f>SUMIFS(PUBLICACIONESPRESIDENCIA,PERIODOPRESIDENCIA,F1,MESAREPORTARPRESIDENCIA,S2)</f>
        <v>#REF!</v>
      </c>
      <c r="T11" s="22" t="e">
        <f t="shared" si="0"/>
        <v>#REF!</v>
      </c>
    </row>
    <row r="12" spans="1:20" ht="39" customHeight="1">
      <c r="A12" s="44" t="s">
        <v>36</v>
      </c>
      <c r="B12" s="19" t="s">
        <v>37</v>
      </c>
      <c r="C12" s="20">
        <v>14</v>
      </c>
      <c r="D12" s="5" t="s">
        <v>485</v>
      </c>
      <c r="E12" s="20" t="s">
        <v>471</v>
      </c>
      <c r="F12" s="5" t="s">
        <v>486</v>
      </c>
      <c r="G12" s="21" t="e">
        <f>((T12/C12)*EXT!A10)</f>
        <v>#REF!</v>
      </c>
      <c r="H12" s="20" t="e">
        <f>SUMIFS(PROGRAMASIMPLEMENTADOSPRESIDENCIA,PERIODOPRESIDENCIA,F1,MESAREPORTARPRESIDENCIA,H2)</f>
        <v>#REF!</v>
      </c>
      <c r="I12" s="20" t="e">
        <f>SUMIFS(PROGRAMASIMPLEMENTADOSPRESIDENCIA,PERIODOPRESIDENCIA,F1,MESAREPORTARPRESIDENCIA,I2)</f>
        <v>#REF!</v>
      </c>
      <c r="J12" s="20" t="e">
        <f>SUMIFS(PROGRAMASIMPLEMENTADOSPRESIDENCIA,PERIODOPRESIDENCIA,H2,MESAREPORTARPRESIDENCIA,J2)</f>
        <v>#REF!</v>
      </c>
      <c r="K12" s="20" t="e">
        <f>SUMIFS(PROGRAMASIMPLEMENTADOSPRESIDENCIA,PERIODOPRESIDENCIA,F1,MESAREPORTARPRESIDENCIA,K2)</f>
        <v>#REF!</v>
      </c>
      <c r="L12" s="20" t="e">
        <f>SUMIFS(PROGRAMASIMPLEMENTADOSPRESIDENCIA,PERIODOPRESIDENCIA,F1,MESAREPORTARPRESIDENCIA,L2)</f>
        <v>#REF!</v>
      </c>
      <c r="M12" s="20" t="e">
        <f>SUMIFS(PROGRAMASIMPLEMENTADOSPRESIDENCIA,PERIODOPRESIDENCIA,F1,MESAREPORTARPRESIDENCIA,M2)</f>
        <v>#REF!</v>
      </c>
      <c r="N12" s="20" t="e">
        <f>SUMIFS(PROGRAMASIMPLEMENTADOSPRESIDENCIA,PERIODOPRESIDENCIA,F1,MESAREPORTARPRESIDENCIA,N2)</f>
        <v>#REF!</v>
      </c>
      <c r="O12" s="20" t="e">
        <f>SUMIFS(PROGRAMASIMPLEMENTADOSPRESIDENCIA,PERIODOPRESIDENCIA,F1,MESAREPORTARPRESIDENCIA,O2)</f>
        <v>#REF!</v>
      </c>
      <c r="P12" s="20" t="e">
        <f>SUMIFS(PROGRAMASIMPLEMENTADOSPRESIDENCIA,PERIODOPRESIDENCIA,F1,MESAREPORTARPRESIDENCIA,P2)</f>
        <v>#REF!</v>
      </c>
      <c r="Q12" s="20" t="e">
        <f>SUMIFS(PROGRAMASIMPLEMENTADOSPRESIDENCIA,PERIODOPRESIDENCIA,F1,MESAREPORTARPRESIDENCIA,Q2)</f>
        <v>#REF!</v>
      </c>
      <c r="R12" s="20" t="e">
        <f>SUMIFS(PROGRAMASIMPLEMENTADOSPRESIDENCIA,PERIODOPRESIDENCIA,F1,MESAREPORTARPRESIDENCIA,R2)</f>
        <v>#REF!</v>
      </c>
      <c r="S12" s="20" t="e">
        <f>SUMIFS(PROGRAMASIMPLEMENTADOSPRESIDENCIA,PERIODOPRESIDENCIA,F1,MESAREPORTARPRESIDENCIA,S2)</f>
        <v>#REF!</v>
      </c>
      <c r="T12" s="22" t="e">
        <f t="shared" si="0"/>
        <v>#REF!</v>
      </c>
    </row>
    <row r="13" spans="1:20" ht="34">
      <c r="A13" s="31"/>
      <c r="B13" s="19" t="s">
        <v>38</v>
      </c>
      <c r="C13" s="20">
        <v>66</v>
      </c>
      <c r="D13" s="5" t="s">
        <v>474</v>
      </c>
      <c r="E13" s="20" t="s">
        <v>471</v>
      </c>
      <c r="F13" s="5" t="s">
        <v>486</v>
      </c>
      <c r="G13" s="21" t="e">
        <f>((T13/C13)*EXT!A11)</f>
        <v>#REF!</v>
      </c>
      <c r="H13" s="20" t="e">
        <f>SUMIFS(PERSONASBENEFICIADASPRESIDENCIA,PERIODOPRESIDENCIA,F1,MESAREPORTARPRESIDENCIA,H2)</f>
        <v>#REF!</v>
      </c>
      <c r="I13" s="20" t="e">
        <f>SUMIFS(PERSONASBENEFICIADASPRESIDENCIA,PERIODOPRESIDENCIA,F1,MESAREPORTARPRESIDENCIA,I2)</f>
        <v>#REF!</v>
      </c>
      <c r="J13" s="20" t="e">
        <f>SUMIFS(PERSONASBENEFICIADASPRESIDENCIA,PERIODOPRESIDENCIA,F1,MESAREPORTARPRESIDENCIA,J2)</f>
        <v>#REF!</v>
      </c>
      <c r="K13" s="20" t="e">
        <f>SUMIFS(PERSONASBENEFICIADASPRESIDENCIA,PERIODOPRESIDENCIA,F1,MESAREPORTARPRESIDENCIA,K2)</f>
        <v>#REF!</v>
      </c>
      <c r="L13" s="20" t="e">
        <f>SUMIFS(PERSONASBENEFICIADASPRESIDENCIA,PERIODOPRESIDENCIA,F1,MESAREPORTARPRESIDENCIA,L2)</f>
        <v>#REF!</v>
      </c>
      <c r="M13" s="20" t="e">
        <f>SUMIFS(PERSONASBENEFICIADASPRESIDENCIA,PERIODOPRESIDENCIA,F1,MESAREPORTARPRESIDENCIA,M2)</f>
        <v>#REF!</v>
      </c>
      <c r="N13" s="20" t="e">
        <f>SUMIFS(PERSONASBENEFICIADASPRESIDENCIA,PERIODOPRESIDENCIA,F1,MESAREPORTARPRESIDENCIA,N2)</f>
        <v>#REF!</v>
      </c>
      <c r="O13" s="20" t="e">
        <f>SUMIFS(PERSONASBENEFICIADASPRESIDENCIA,PERIODOPRESIDENCIA,F1,MESAREPORTARPRESIDENCIA,O2)</f>
        <v>#REF!</v>
      </c>
      <c r="P13" s="20" t="e">
        <f>SUMIFS(PERSONASBENEFICIADASPRESIDENCIA,PERIODOPRESIDENCIA,F1,MESAREPORTARPRESIDENCIA,P2)</f>
        <v>#REF!</v>
      </c>
      <c r="Q13" s="20" t="e">
        <f>SUMIFS(PERSONASBENEFICIADASPRESIDENCIA,PERIODOPRESIDENCIA,F1,MESAREPORTARPRESIDENCIA,Q2)</f>
        <v>#REF!</v>
      </c>
      <c r="R13" s="20" t="e">
        <f>SUMIFS(PERSONASBENEFICIADASPRESIDENCIA,PERIODOPRESIDENCIA,F1,MESAREPORTARPRESIDENCIA,R2)</f>
        <v>#REF!</v>
      </c>
      <c r="S13" s="20" t="e">
        <f>SUMIFS(PERSONASBENEFICIADASPRESIDENCIA,PERIODOPRESIDENCIA,F1,MESAREPORTARPRESIDENCIA,S2)</f>
        <v>#REF!</v>
      </c>
      <c r="T13" s="22" t="e">
        <f t="shared" si="0"/>
        <v>#REF!</v>
      </c>
    </row>
  </sheetData>
  <mergeCells count="8">
    <mergeCell ref="H1:T1"/>
    <mergeCell ref="A3:A4"/>
    <mergeCell ref="A5:A6"/>
    <mergeCell ref="A7:A8"/>
    <mergeCell ref="A9:A11"/>
    <mergeCell ref="A12:A13"/>
    <mergeCell ref="B1:D1"/>
    <mergeCell ref="F1:G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T13"/>
  <sheetViews>
    <sheetView workbookViewId="0">
      <selection activeCell="H3" sqref="H3:T13"/>
    </sheetView>
  </sheetViews>
  <sheetFormatPr baseColWidth="10" defaultColWidth="11.1640625" defaultRowHeight="15" customHeight="1"/>
  <cols>
    <col min="1" max="1" width="26.6640625" customWidth="1"/>
    <col min="2" max="2" width="39.5" customWidth="1"/>
    <col min="3" max="3" width="10.33203125" customWidth="1"/>
    <col min="4" max="4" width="22.33203125" customWidth="1"/>
    <col min="5" max="5" width="15.6640625" customWidth="1"/>
    <col min="6" max="6" width="24.1640625" customWidth="1"/>
    <col min="7" max="7" width="13.6640625" customWidth="1"/>
    <col min="19" max="19" width="12.5" customWidth="1"/>
    <col min="20" max="20" width="16.1640625" customWidth="1"/>
  </cols>
  <sheetData>
    <row r="1" spans="1:20" ht="42.75" customHeight="1">
      <c r="A1" s="17" t="s">
        <v>464</v>
      </c>
      <c r="B1" s="41" t="s">
        <v>24</v>
      </c>
      <c r="C1" s="37"/>
      <c r="D1" s="38"/>
      <c r="E1" s="17" t="s">
        <v>465</v>
      </c>
      <c r="F1" s="45" t="s">
        <v>467</v>
      </c>
      <c r="G1" s="46"/>
      <c r="H1" s="43" t="s">
        <v>0</v>
      </c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8"/>
    </row>
    <row r="2" spans="1:20" ht="34">
      <c r="A2" s="2" t="s">
        <v>4</v>
      </c>
      <c r="B2" s="2" t="s">
        <v>5</v>
      </c>
      <c r="C2" s="2" t="s">
        <v>6</v>
      </c>
      <c r="D2" s="2" t="s">
        <v>7</v>
      </c>
      <c r="E2" s="2" t="s">
        <v>8</v>
      </c>
      <c r="F2" s="2" t="s">
        <v>9</v>
      </c>
      <c r="G2" s="2" t="s">
        <v>10</v>
      </c>
      <c r="H2" s="2" t="s">
        <v>11</v>
      </c>
      <c r="I2" s="3" t="s">
        <v>12</v>
      </c>
      <c r="J2" s="3" t="s">
        <v>13</v>
      </c>
      <c r="K2" s="3" t="s">
        <v>469</v>
      </c>
      <c r="L2" s="3" t="s">
        <v>15</v>
      </c>
      <c r="M2" s="3" t="s">
        <v>16</v>
      </c>
      <c r="N2" s="3" t="s">
        <v>17</v>
      </c>
      <c r="O2" s="3" t="s">
        <v>18</v>
      </c>
      <c r="P2" s="3" t="s">
        <v>19</v>
      </c>
      <c r="Q2" s="3" t="s">
        <v>20</v>
      </c>
      <c r="R2" s="3" t="s">
        <v>21</v>
      </c>
      <c r="S2" s="3" t="s">
        <v>22</v>
      </c>
      <c r="T2" s="2" t="s">
        <v>23</v>
      </c>
    </row>
    <row r="3" spans="1:20" ht="36" customHeight="1">
      <c r="A3" s="44" t="s">
        <v>24</v>
      </c>
      <c r="B3" s="19" t="s">
        <v>25</v>
      </c>
      <c r="C3" s="20">
        <v>180</v>
      </c>
      <c r="D3" s="5" t="s">
        <v>470</v>
      </c>
      <c r="E3" s="20" t="s">
        <v>471</v>
      </c>
      <c r="F3" s="20" t="s">
        <v>472</v>
      </c>
      <c r="G3" s="21" t="e">
        <f>((T3/C3)*EXT!A1)</f>
        <v>#REF!</v>
      </c>
      <c r="H3" s="20" t="e">
        <f>SUMIFS(CITASPRESIDENCIA,PERIODOPRESIDENCIA,F1,MESAREPORTARPRESIDENCIA,H2)</f>
        <v>#REF!</v>
      </c>
      <c r="I3" s="20" t="e">
        <f>SUMIFS(CITASPRESIDENCIA,PERIODOPRESIDENCIA,F1,MESAREPORTARPRESIDENCIA,I2)</f>
        <v>#REF!</v>
      </c>
      <c r="J3" s="20" t="e">
        <f>SUMIFS(CITASPRESIDENCIA,PERIODOPRESIDENCIA,F1,MESAREPORTARPRESIDENCIA,J2)</f>
        <v>#REF!</v>
      </c>
      <c r="K3" s="20" t="e">
        <f>SUMIFS(CITASPRESIDENCIA,PERIODOPRESIDENCIA,F1,MESAREPORTARPRESIDENCIA,K2)</f>
        <v>#REF!</v>
      </c>
      <c r="L3" s="20" t="e">
        <f>SUMIFS(CITASPRESIDENCIA,PERIODOPRESIDENCIA,F1,MESAREPORTARPRESIDENCIA,L2)</f>
        <v>#REF!</v>
      </c>
      <c r="M3" s="20" t="e">
        <f>SUMIFS(CITASPRESIDENCIA,PERIODOPRESIDENCIA,F1,MESAREPORTARPRESIDENCIA,M2)</f>
        <v>#REF!</v>
      </c>
      <c r="N3" s="20" t="e">
        <f>SUMIFS(CITASPRESIDENCIA,PERIODOPRESIDENCIA,F1,MESAREPORTARPRESIDENCIA,N2)</f>
        <v>#REF!</v>
      </c>
      <c r="O3" s="20" t="e">
        <f>SUMIFS(CITASPRESIDENCIA,PERIODOPRESIDENCIA,F1,MESAREPORTARPRESIDENCIA,O2)</f>
        <v>#REF!</v>
      </c>
      <c r="P3" s="20" t="e">
        <f>SUMIFS(CITASPRESIDENCIA,PERIODOPRESIDENCIA,F1,MESAREPORTARPRESIDENCIA,P2)</f>
        <v>#REF!</v>
      </c>
      <c r="Q3" s="20" t="e">
        <f>SUMIFS(CITASPRESIDENCIA,PERIODOPRESIDENCIA,F1,MESAREPORTARPRESIDENCIA,Q2)</f>
        <v>#REF!</v>
      </c>
      <c r="R3" s="20" t="e">
        <f>SUMIFS(CITASPRESIDENCIA,PERIODOPRESIDENCIA,F1,MESAREPORTARPRESIDENCIA,R2)</f>
        <v>#REF!</v>
      </c>
      <c r="S3" s="20" t="e">
        <f>SUMIFS(CITASPRESIDENCIA,PERIODOPRESIDENCIA,F1,MESAREPORTARPRESIDENCIA,S2)</f>
        <v>#REF!</v>
      </c>
      <c r="T3" s="22" t="e">
        <f t="shared" ref="T3:T13" si="0">SUM(H3:S3)</f>
        <v>#REF!</v>
      </c>
    </row>
    <row r="4" spans="1:20" ht="36" customHeight="1">
      <c r="A4" s="31"/>
      <c r="B4" s="19" t="s">
        <v>26</v>
      </c>
      <c r="C4" s="20">
        <v>780</v>
      </c>
      <c r="D4" s="5" t="s">
        <v>473</v>
      </c>
      <c r="E4" s="20" t="s">
        <v>471</v>
      </c>
      <c r="F4" s="20" t="s">
        <v>472</v>
      </c>
      <c r="G4" s="21" t="e">
        <f>((T4/C4)*EXT!A2)</f>
        <v>#REF!</v>
      </c>
      <c r="H4" s="20" t="e">
        <f>SUMIFS(PERSONASATENDIDASPRESIDENCIA,PERIODOPRESIDENCIA,F1,MESAREPORTARPRESIDENCIA,H2)</f>
        <v>#REF!</v>
      </c>
      <c r="I4" s="20" t="e">
        <f>SUMIFS(PERSONASATENDIDASPRESIDENCIA,PERIODOPRESIDENCIA,F1,MESAREPORTARPRESIDENCIA,I2)</f>
        <v>#REF!</v>
      </c>
      <c r="J4" s="20" t="e">
        <f>SUMIFS(PERSONASATENDIDASPRESIDENCIA,PERIODOPRESIDENCIA,F1,MESAREPORTARPRESIDENCIA,J2)</f>
        <v>#REF!</v>
      </c>
      <c r="K4" s="20" t="e">
        <f>SUMIFS(PERSONASATENDIDASPRESIDENCIA,PERIODOPRESIDENCIA,F1,MESAREPORTARPRESIDENCIA,K2)</f>
        <v>#REF!</v>
      </c>
      <c r="L4" s="20" t="e">
        <f>SUMIFS(PERSONASATENDIDASPRESIDENCIA,PERIODOPRESIDENCIA,F1,MESAREPORTARPRESIDENCIA,L2)</f>
        <v>#REF!</v>
      </c>
      <c r="M4" s="20" t="e">
        <f>SUMIFS(PERSONASATENDIDASPRESIDENCIA,PERIODOPRESIDENCIA,H1,MESAREPORTARPRESIDENCIA,M2)</f>
        <v>#REF!</v>
      </c>
      <c r="N4" s="20" t="e">
        <f>SUMIFS(PERSONASATENDIDASPRESIDENCIA,PERIODOPRESIDENCIA,F1,MESAREPORTARPRESIDENCIA,N2)</f>
        <v>#REF!</v>
      </c>
      <c r="O4" s="20" t="e">
        <f>SUMIFS(PERSONASATENDIDASPRESIDENCIA,PERIODOPRESIDENCIA,F1,MESAREPORTARPRESIDENCIA,O2)</f>
        <v>#REF!</v>
      </c>
      <c r="P4" s="20" t="e">
        <f>SUMIFS(PERSONASATENDIDASPRESIDENCIA,PERIODOPRESIDENCIA,F1,MESAREPORTARPRESIDENCIA,P2)</f>
        <v>#REF!</v>
      </c>
      <c r="Q4" s="20" t="e">
        <f>SUMIFS(PERSONASATENDIDASPRESIDENCIA,PERIODOPRESIDENCIA,F1,MESAREPORTARPRESIDENCIA,Q2)</f>
        <v>#REF!</v>
      </c>
      <c r="R4" s="20" t="e">
        <f>SUMIFS(PERSONASATENDIDASPRESIDENCIA,PERIODOPRESIDENCIA,F1,MESAREPORTARPRESIDENCIA,R2)</f>
        <v>#REF!</v>
      </c>
      <c r="S4" s="20" t="e">
        <f>SUMIFS(PERSONASATENDIDASPRESIDENCIA,PERIODOPRESIDENCIA,F1,MESAREPORTARPRESIDENCIA,S2)</f>
        <v>#REF!</v>
      </c>
      <c r="T4" s="22" t="e">
        <f t="shared" si="0"/>
        <v>#REF!</v>
      </c>
    </row>
    <row r="5" spans="1:20" ht="36.75" customHeight="1">
      <c r="A5" s="44" t="s">
        <v>27</v>
      </c>
      <c r="B5" s="19" t="s">
        <v>26</v>
      </c>
      <c r="C5" s="20">
        <v>780</v>
      </c>
      <c r="D5" s="5" t="s">
        <v>474</v>
      </c>
      <c r="E5" s="20" t="s">
        <v>471</v>
      </c>
      <c r="F5" s="20" t="s">
        <v>472</v>
      </c>
      <c r="G5" s="21" t="e">
        <f>((T5/C5)*EXT!A3)</f>
        <v>#REF!</v>
      </c>
      <c r="H5" s="20" t="e">
        <f>SUMIFS(PERSONASPRESIDENCIA,PERIODOPRESIDENCIA,F1,MESAREPORTARPRESIDENCIA,H2)</f>
        <v>#REF!</v>
      </c>
      <c r="I5" s="20" t="e">
        <f>SUMIFS(PERSONASPRESIDENCIA,PERIODOPRESIDENCIA,F1,MESAREPORTARPRESIDENCIA,I2)</f>
        <v>#REF!</v>
      </c>
      <c r="J5" s="20" t="e">
        <f>SUMIFS(PERSONASPRESIDENCIA,PERIODOPRESIDENCIA,H1,MESAREPORTARPRESIDENCIA,J2)</f>
        <v>#REF!</v>
      </c>
      <c r="K5" s="20" t="e">
        <f>SUMIFS(PERSONASPRESIDENCIA,PERIODOPRESIDENCIA,F1,MESAREPORTARPRESIDENCIA,K2)</f>
        <v>#REF!</v>
      </c>
      <c r="L5" s="20" t="e">
        <f>SUMIFS(PERSONASPRESIDENCIA,PERIODOPRESIDENCIA,F1,MESAREPORTARPRESIDENCIA,L2)</f>
        <v>#REF!</v>
      </c>
      <c r="M5" s="20" t="e">
        <f>SUMIFS(PERSONASPRESIDENCIA,PERIODOPRESIDENCIA,H1,MESAREPORTARPRESIDENCIA,M2)</f>
        <v>#REF!</v>
      </c>
      <c r="N5" s="20" t="e">
        <f>SUMIFS(PERSONASPRESIDENCIA,PERIODOPRESIDENCIA,F1,MESAREPORTARPRESIDENCIA,N2)</f>
        <v>#REF!</v>
      </c>
      <c r="O5" s="20" t="e">
        <f>SUMIFS(PERSONASPRESIDENCIA,PERIODOPRESIDENCIA,F1,MESAREPORTARPRESIDENCIA,O2)</f>
        <v>#REF!</v>
      </c>
      <c r="P5" s="20" t="e">
        <f>SUMIFS(PERSONASPRESIDENCIA,PERIODOPRESIDENCIA,F1,MESAREPORTARPRESIDENCIA,P2)</f>
        <v>#REF!</v>
      </c>
      <c r="Q5" s="20" t="e">
        <f>SUMIFS(PERSONASPRESIDENCIA,PERIODOPRESIDENCIA,F1,MESAREPORTARPRESIDENCIA,Q2)</f>
        <v>#REF!</v>
      </c>
      <c r="R5" s="20" t="e">
        <f>SUMIFS(PERSONASPRESIDENCIA,PERIODOPRESIDENCIA,F1,MESAREPORTARPRESIDENCIA,R2)</f>
        <v>#REF!</v>
      </c>
      <c r="S5" s="20" t="e">
        <f>SUMIFS(PERSONASPRESIDENCIA,PERIODOPRESIDENCIA,F1,MESAREPORTARPRESIDENCIA,S2)</f>
        <v>#REF!</v>
      </c>
      <c r="T5" s="22" t="e">
        <f t="shared" si="0"/>
        <v>#REF!</v>
      </c>
    </row>
    <row r="6" spans="1:20" ht="33.75" customHeight="1">
      <c r="A6" s="31"/>
      <c r="B6" s="19" t="s">
        <v>28</v>
      </c>
      <c r="C6" s="20">
        <v>100</v>
      </c>
      <c r="D6" s="5" t="s">
        <v>475</v>
      </c>
      <c r="E6" s="20" t="s">
        <v>471</v>
      </c>
      <c r="F6" s="20" t="s">
        <v>476</v>
      </c>
      <c r="G6" s="21" t="e">
        <f>((T6/C6)*EXT!A4)</f>
        <v>#REF!</v>
      </c>
      <c r="H6" s="20" t="e">
        <f>SUMIFS(ACUERDOSPRESIDENCIA,PERIODOPRESIDENCIA,F1,MESAREPORTARPRESIDENCIA,H2)</f>
        <v>#REF!</v>
      </c>
      <c r="I6" s="20" t="e">
        <f>SUMIFS(ACUERDOSPRESIDENCIA,PERIODOPRESIDENCIA,F1,MESAREPORTARPRESIDENCIA,I2)</f>
        <v>#REF!</v>
      </c>
      <c r="J6" s="20" t="e">
        <f>SUMIFS(ACUERDOSPRESIDENCIA,PERIODOPRESIDENCIA,F1,MESAREPORTARPRESIDENCIA,J2)</f>
        <v>#REF!</v>
      </c>
      <c r="K6" s="20" t="e">
        <f>SUMIFS(ACUERDOSPRESIDENCIA,PERIODOPRESIDENCIA,F1,MESAREPORTARPRESIDENCIA,K2)</f>
        <v>#REF!</v>
      </c>
      <c r="L6" s="20" t="e">
        <f>SUMIFS(ACUERDOSPRESIDENCIA,PERIODOPRESIDENCIA,F1,MESAREPORTARPRESIDENCIA,L2)</f>
        <v>#REF!</v>
      </c>
      <c r="M6" s="20" t="e">
        <f>SUMIFS(ACUERDOSPRESIDENCIA,PERIODOPRESIDENCIA,F1,MESAREPORTARPRESIDENCIA,M2)</f>
        <v>#REF!</v>
      </c>
      <c r="N6" s="20" t="e">
        <f>SUMIFS(ACUERDOSPRESIDENCIA,PERIODOPRESIDENCIA,F1,MESAREPORTARPRESIDENCIA,N2)</f>
        <v>#REF!</v>
      </c>
      <c r="O6" s="20" t="e">
        <f>SUMIFS(ACUERDOSPRESIDENCIA,PERIODOPRESIDENCIA,F1,MESAREPORTARPRESIDENCIA,O2)</f>
        <v>#REF!</v>
      </c>
      <c r="P6" s="20" t="e">
        <f>SUMIFS(ACUERDOSPRESIDENCIA,PERIODOPRESIDENCIA,F1,MESAREPORTARPRESIDENCIA,P2)</f>
        <v>#REF!</v>
      </c>
      <c r="Q6" s="20" t="e">
        <f>SUMIFS(ACUERDOSPRESIDENCIA,PERIODOPRESIDENCIA,F1,MESAREPORTARPRESIDENCIA,Q2)</f>
        <v>#REF!</v>
      </c>
      <c r="R6" s="20" t="e">
        <f>SUMIFS(ACUERDOSPRESIDENCIA,PERIODOPRESIDENCIA,F1,MESAREPORTARPRESIDENCIA,R2)</f>
        <v>#REF!</v>
      </c>
      <c r="S6" s="20" t="e">
        <f>SUMIFS(ACUERDOSPRESIDENCIA,PERIODOPRESIDENCIA,F1,MESAREPORTARPRESIDENCIA,S2)</f>
        <v>#REF!</v>
      </c>
      <c r="T6" s="22" t="e">
        <f t="shared" si="0"/>
        <v>#REF!</v>
      </c>
    </row>
    <row r="7" spans="1:20" ht="34.5" customHeight="1">
      <c r="A7" s="44" t="s">
        <v>29</v>
      </c>
      <c r="B7" s="19" t="s">
        <v>30</v>
      </c>
      <c r="C7" s="20">
        <v>350</v>
      </c>
      <c r="D7" s="5" t="s">
        <v>477</v>
      </c>
      <c r="E7" s="20" t="s">
        <v>471</v>
      </c>
      <c r="F7" s="20" t="s">
        <v>478</v>
      </c>
      <c r="G7" s="21" t="e">
        <f>((T7/C7)*EXT!A5)</f>
        <v>#REF!</v>
      </c>
      <c r="H7" s="20" t="e">
        <f>SUMIFS(SOLICITUDESPRESIDENCIA,PERIODOPRESIDENCIA,F1,MESAREPORTARPRESIDENCIA,H2)</f>
        <v>#REF!</v>
      </c>
      <c r="I7" s="20" t="e">
        <f>SUMIFS(SOLICITUDESPRESIDENCIA,PERIODOPRESIDENCIA,F1,MESAREPORTARPRESIDENCIA,I2)</f>
        <v>#REF!</v>
      </c>
      <c r="J7" s="20" t="e">
        <f>SUMIFS(SOLICITUDESPRESIDENCIA,PERIODOPRESIDENCIA,F1,MESAREPORTARPRESIDENCIA,J2)</f>
        <v>#REF!</v>
      </c>
      <c r="K7" s="20" t="e">
        <f>SUMIFS(SOLICITUDESPRESIDENCIA,PERIODOPRESIDENCIA,F1,MESAREPORTARPRESIDENCIA,K2)</f>
        <v>#REF!</v>
      </c>
      <c r="L7" s="20" t="e">
        <f>SUMIFS(SOLICITUDESPRESIDENCIA,PERIODOPRESIDENCIA,F1,MESAREPORTARPRESIDENCIA,L2)</f>
        <v>#REF!</v>
      </c>
      <c r="M7" s="20" t="e">
        <f>SUMIFS(SOLICITUDESPRESIDENCIA,PERIODOPRESIDENCIA,F1,MESAREPORTARPRESIDENCIA,M2)</f>
        <v>#REF!</v>
      </c>
      <c r="N7" s="20" t="e">
        <f>SUMIFS(SOLICITUDESPRESIDENCIA,PERIODOPRESIDENCIA,F1,MESAREPORTARPRESIDENCIA,N2)</f>
        <v>#REF!</v>
      </c>
      <c r="O7" s="20" t="e">
        <f>SUMIFS(SOLICITUDESPRESIDENCIA,PERIODOPRESIDENCIA,F1,MESAREPORTARPRESIDENCIA,O2)</f>
        <v>#REF!</v>
      </c>
      <c r="P7" s="20" t="e">
        <f>SUMIFS(SOLICITUDESPRESIDENCIA,PERIODOPRESIDENCIA,F1,MESAREPORTARPRESIDENCIA,P2)</f>
        <v>#REF!</v>
      </c>
      <c r="Q7" s="20" t="e">
        <f>SUMIFS(SOLICITUDESPRESIDENCIA,PERIODOPRESIDENCIA,F1,MESAREPORTARPRESIDENCIA,Q2)</f>
        <v>#REF!</v>
      </c>
      <c r="R7" s="20" t="e">
        <f>SUMIFS(SOLICITUDESPRESIDENCIA,PERIODOPRESIDENCIA,F1,MESAREPORTARPRESIDENCIA,R2)</f>
        <v>#REF!</v>
      </c>
      <c r="S7" s="20" t="e">
        <f>SUMIFS(SOLICITUDESPRESIDENCIA,PERIODOPRESIDENCIA,F1,MESAREPORTARPRESIDENCIA,S2)</f>
        <v>#REF!</v>
      </c>
      <c r="T7" s="22" t="e">
        <f t="shared" si="0"/>
        <v>#REF!</v>
      </c>
    </row>
    <row r="8" spans="1:20" ht="33" customHeight="1">
      <c r="A8" s="31"/>
      <c r="B8" s="19" t="s">
        <v>31</v>
      </c>
      <c r="C8" s="20">
        <v>12</v>
      </c>
      <c r="D8" s="5" t="s">
        <v>479</v>
      </c>
      <c r="E8" s="20" t="s">
        <v>471</v>
      </c>
      <c r="F8" s="5" t="s">
        <v>480</v>
      </c>
      <c r="G8" s="21" t="e">
        <f>((T8/C8)*EXT!A6)</f>
        <v>#REF!</v>
      </c>
      <c r="H8" s="20" t="e">
        <f>SUMIFS(CAPACITACIONESPRESIDENCIA,PERIODOPRESIDENCIA,F1,MESAREPORTARPRESIDENCIA,H2)</f>
        <v>#REF!</v>
      </c>
      <c r="I8" s="20" t="e">
        <f>SUMIFS(CAPACITACIONESPRESIDENCIA,PERIODOPRESIDENCIA,F1,MESAREPORTARPRESIDENCIA,I2)</f>
        <v>#REF!</v>
      </c>
      <c r="J8" s="20" t="e">
        <f>SUMIFS(CAPACITACIONESPRESIDENCIA,PERIODOPRESIDENCIA,H1,MESAREPORTARPRESIDENCIA,J2)</f>
        <v>#REF!</v>
      </c>
      <c r="K8" s="20" t="e">
        <f>SUMIFS(CAPACITACIONESPRESIDENCIA,PERIODOPRESIDENCIA,F1,MESAREPORTARPRESIDENCIA,K2)</f>
        <v>#REF!</v>
      </c>
      <c r="L8" s="20" t="e">
        <f>SUMIFS(CAPACITACIONESPRESIDENCIA,PERIODOPRESIDENCIA,F1,MESAREPORTARPRESIDENCIA,L2)</f>
        <v>#REF!</v>
      </c>
      <c r="M8" s="20" t="e">
        <f>SUMIFS(CAPACITACIONESPRESIDENCIA,PERIODOPRESIDENCIA,F1,MESAREPORTARPRESIDENCIA,M2)</f>
        <v>#REF!</v>
      </c>
      <c r="N8" s="20" t="e">
        <f>SUMIFS(CAPACITACIONESPRESIDENCIA,PERIODOPRESIDENCIA,F1,MESAREPORTARPRESIDENCIA,N2)</f>
        <v>#REF!</v>
      </c>
      <c r="O8" s="20" t="e">
        <f>SUMIFS(CAPACITACIONESPRESIDENCIA,PERIODOPRESIDENCIA,F1,MESAREPORTARPRESIDENCIA,O2)</f>
        <v>#REF!</v>
      </c>
      <c r="P8" s="20" t="e">
        <f>SUMIFS(CAPACITACIONESPRESIDENCIA,PERIODOPRESIDENCIA,F1,MESAREPORTARPRESIDENCIA,P2)</f>
        <v>#REF!</v>
      </c>
      <c r="Q8" s="20" t="e">
        <f>SUMIFS(CAPACITACIONESPRESIDENCIA,PERIODOPRESIDENCIA,F1,MESAREPORTARPRESIDENCIA,Q2)</f>
        <v>#REF!</v>
      </c>
      <c r="R8" s="20" t="e">
        <f>SUMIFS(CAPACITACIONESPRESIDENCIA,PERIODOPRESIDENCIA,F1,MESAREPORTARPRESIDENCIA,R2)</f>
        <v>#REF!</v>
      </c>
      <c r="S8" s="20" t="e">
        <f>SUMIFS(CAPACITACIONESPRESIDENCIA,PERIODOPRESIDENCIA,F1,MESAREPORTARPRESIDENCIA,S2)</f>
        <v>#REF!</v>
      </c>
      <c r="T8" s="22" t="e">
        <f t="shared" si="0"/>
        <v>#REF!</v>
      </c>
    </row>
    <row r="9" spans="1:20" ht="34">
      <c r="A9" s="44" t="s">
        <v>32</v>
      </c>
      <c r="B9" s="19" t="s">
        <v>33</v>
      </c>
      <c r="C9" s="20">
        <v>520</v>
      </c>
      <c r="D9" s="5" t="s">
        <v>481</v>
      </c>
      <c r="E9" s="20" t="s">
        <v>471</v>
      </c>
      <c r="F9" s="20" t="s">
        <v>482</v>
      </c>
      <c r="G9" s="21" t="e">
        <f>((T9/C9)*EXT!A7)</f>
        <v>#REF!</v>
      </c>
      <c r="H9" s="20" t="e">
        <f>SUMIFS(NOTASPRESIDENCIA,PERIODOPRESIDENCIA,F1,MESAREPORTARPRESIDENCIA,H2)</f>
        <v>#REF!</v>
      </c>
      <c r="I9" s="20" t="e">
        <f>SUMIFS(NOTASPRESIDENCIA,PERIODOPRESIDENCIA,F1,MESAREPORTARPRESIDENCIA,I2)</f>
        <v>#REF!</v>
      </c>
      <c r="J9" s="20" t="e">
        <f>SUMIFS(NOTASPRESIDENCIA,PERIODOPRESIDENCIA,F1,MESAREPORTARPRESIDENCIA,J2)</f>
        <v>#REF!</v>
      </c>
      <c r="K9" s="20" t="e">
        <f>SUMIFS(NOTASPRESIDENCIA,PERIODOPRESIDENCIA,F1,MESAREPORTARPRESIDENCIA,K2)</f>
        <v>#REF!</v>
      </c>
      <c r="L9" s="20" t="e">
        <f>SUMIFS(NOTASPRESIDENCIA,PERIODOPRESIDENCIA,F1,MESAREPORTARPRESIDENCIA,L2)</f>
        <v>#REF!</v>
      </c>
      <c r="M9" s="20" t="e">
        <f>SUMIFS(NOTASPRESIDENCIA,PERIODOPRESIDENCIA,F1,MESAREPORTARPRESIDENCIA,M2)</f>
        <v>#REF!</v>
      </c>
      <c r="N9" s="20" t="e">
        <f>SUMIFS(NOTASPRESIDENCIA,PERIODOPRESIDENCIA,F1,MESAREPORTARPRESIDENCIA,N2)</f>
        <v>#REF!</v>
      </c>
      <c r="O9" s="20" t="e">
        <f>SUMIFS(NOTASPRESIDENCIA,PERIODOPRESIDENCIA,F1,MESAREPORTARPRESIDENCIA,O2)</f>
        <v>#REF!</v>
      </c>
      <c r="P9" s="20" t="e">
        <f>SUMIFS(NOTASPRESIDENCIA,PERIODOPRESIDENCIA,F1,MESAREPORTARPRESIDENCIA,P2)</f>
        <v>#REF!</v>
      </c>
      <c r="Q9" s="20" t="e">
        <f>SUMIFS(NOTASPRESIDENCIA,PERIODOPRESIDENCIA,F1,MESAREPORTARPRESIDENCIA,Q2)</f>
        <v>#REF!</v>
      </c>
      <c r="R9" s="20" t="e">
        <f>SUMIFS(NOTASPRESIDENCIA,PERIODOPRESIDENCIA,F1,MESAREPORTARPRESIDENCIA,R2)</f>
        <v>#REF!</v>
      </c>
      <c r="S9" s="20" t="e">
        <f>SUMIFS(NOTASPRESIDENCIA,PERIODOPRESIDENCIA,F1,MESAREPORTARPRESIDENCIA,S2)</f>
        <v>#REF!</v>
      </c>
      <c r="T9" s="22" t="e">
        <f t="shared" si="0"/>
        <v>#REF!</v>
      </c>
    </row>
    <row r="10" spans="1:20" ht="34">
      <c r="A10" s="30"/>
      <c r="B10" s="19" t="s">
        <v>34</v>
      </c>
      <c r="C10" s="20">
        <v>500</v>
      </c>
      <c r="D10" s="5" t="s">
        <v>483</v>
      </c>
      <c r="E10" s="20" t="s">
        <v>471</v>
      </c>
      <c r="F10" s="20" t="s">
        <v>482</v>
      </c>
      <c r="G10" s="21" t="e">
        <f>((T10/C10)*EXT!A8)</f>
        <v>#REF!</v>
      </c>
      <c r="H10" s="20" t="e">
        <f>SUMIFS(DISEÑOSPRESIDENCIA,PERIODOPRESIDENCIA,F1,MESAREPORTARPRESIDENCIA,H2)</f>
        <v>#REF!</v>
      </c>
      <c r="I10" s="20" t="e">
        <f>SUMIFS(DISEÑOSPRESIDENCIA,PERIODOPRESIDENCIA,F1,MESAREPORTARPRESIDENCIA,I2)</f>
        <v>#REF!</v>
      </c>
      <c r="J10" s="20" t="e">
        <f>SUMIFS(DISEÑOSPRESIDENCIA,PERIODOPRESIDENCIA,F1,MESAREPORTARPRESIDENCIA,J2)</f>
        <v>#REF!</v>
      </c>
      <c r="K10" s="20" t="e">
        <f>SUMIFS(DISEÑOSPRESIDENCIA,PERIODOPRESIDENCIA,F1,MESAREPORTARPRESIDENCIA,K2)</f>
        <v>#REF!</v>
      </c>
      <c r="L10" s="20" t="e">
        <f>SUMIFS(DISEÑOSPRESIDENCIA,PERIODOPRESIDENCIA,F1,MESAREPORTARPRESIDENCIA,L2)</f>
        <v>#REF!</v>
      </c>
      <c r="M10" s="20" t="e">
        <f>SUMIFS(DISEÑOSPRESIDENCIA,PERIODOPRESIDENCIA,F1,MESAREPORTARPRESIDENCIA,M2)</f>
        <v>#REF!</v>
      </c>
      <c r="N10" s="20" t="e">
        <f>SUMIFS(DISEÑOSPRESIDENCIA,PERIODOPRESIDENCIA,F1,MESAREPORTARPRESIDENCIA,N2)</f>
        <v>#REF!</v>
      </c>
      <c r="O10" s="20" t="e">
        <f>SUMIFS(DISEÑOSPRESIDENCIA,PERIODOPRESIDENCIA,F1,MESAREPORTARPRESIDENCIA,O2)</f>
        <v>#REF!</v>
      </c>
      <c r="P10" s="20" t="e">
        <f>SUMIFS(DISEÑOSPRESIDENCIA,PERIODOPRESIDENCIA,F1,MESAREPORTARPRESIDENCIA,P2)</f>
        <v>#REF!</v>
      </c>
      <c r="Q10" s="20" t="e">
        <f>SUMIFS(DISEÑOSPRESIDENCIA,PERIODOPRESIDENCIA,F1,MESAREPORTARPRESIDENCIA,Q2)</f>
        <v>#REF!</v>
      </c>
      <c r="R10" s="20" t="e">
        <f>SUMIFS(DISEÑOSPRESIDENCIA,PERIODOPRESIDENCIA,F1,MESAREPORTARPRESIDENCIA,R2)</f>
        <v>#REF!</v>
      </c>
      <c r="S10" s="20" t="e">
        <f>SUMIFS(DISEÑOSPRESIDENCIA,PERIODOPRESIDENCIA,F1,MESAREPORTARPRESIDENCIA,S2)</f>
        <v>#REF!</v>
      </c>
      <c r="T10" s="22" t="e">
        <f t="shared" si="0"/>
        <v>#REF!</v>
      </c>
    </row>
    <row r="11" spans="1:20" ht="34">
      <c r="A11" s="31"/>
      <c r="B11" s="19" t="s">
        <v>35</v>
      </c>
      <c r="C11" s="20">
        <v>320</v>
      </c>
      <c r="D11" s="5" t="s">
        <v>484</v>
      </c>
      <c r="E11" s="20" t="s">
        <v>471</v>
      </c>
      <c r="F11" s="20" t="s">
        <v>482</v>
      </c>
      <c r="G11" s="21" t="e">
        <f>((T11/C11)*EXT!A9)</f>
        <v>#REF!</v>
      </c>
      <c r="H11" s="20" t="e">
        <f>SUMIFS(PUBLICACIONESPRESIDENCIA,PERIODOPRESIDENCIA,F1,MESAREPORTARPRESIDENCIA,H2)</f>
        <v>#REF!</v>
      </c>
      <c r="I11" s="20" t="e">
        <f>SUMIFS(PUBLICACIONESPRESIDENCIA,PERIODOPRESIDENCIA,F1,MESAREPORTARPRESIDENCIA,I2)</f>
        <v>#REF!</v>
      </c>
      <c r="J11" s="20" t="e">
        <f>SUMIFS(PUBLICACIONESPRESIDENCIA,PERIODOPRESIDENCIA,F1,MESAREPORTARPRESIDENCIA,J2)</f>
        <v>#REF!</v>
      </c>
      <c r="K11" s="20" t="e">
        <f>SUMIFS(PUBLICACIONESPRESIDENCIA,PERIODOPRESIDENCIA,F1,MESAREPORTARPRESIDENCIA,K2)</f>
        <v>#REF!</v>
      </c>
      <c r="L11" s="20" t="e">
        <f>SUMIFS(PUBLICACIONESPRESIDENCIA,PERIODOPRESIDENCIA,F1,MESAREPORTARPRESIDENCIA,L2)</f>
        <v>#REF!</v>
      </c>
      <c r="M11" s="20" t="e">
        <f>SUMIFS(PUBLICACIONESPRESIDENCIA,PERIODOPRESIDENCIA,F1,MESAREPORTARPRESIDENCIA,M2)</f>
        <v>#REF!</v>
      </c>
      <c r="N11" s="20" t="e">
        <f>SUMIFS(PUBLICACIONESPRESIDENCIA,PERIODOPRESIDENCIA,F1,MESAREPORTARPRESIDENCIA,N2)</f>
        <v>#REF!</v>
      </c>
      <c r="O11" s="20" t="e">
        <f>SUMIFS(PUBLICACIONESPRESIDENCIA,PERIODOPRESIDENCIA,F1,MESAREPORTARPRESIDENCIA,O2)</f>
        <v>#REF!</v>
      </c>
      <c r="P11" s="20" t="e">
        <f>SUMIFS(PUBLICACIONESPRESIDENCIA,PERIODOPRESIDENCIA,F1,MESAREPORTARPRESIDENCIA,P2)</f>
        <v>#REF!</v>
      </c>
      <c r="Q11" s="20" t="e">
        <f>SUMIFS(PUBLICACIONESPRESIDENCIA,PERIODOPRESIDENCIA,F1,MESAREPORTARPRESIDENCIA,Q2)</f>
        <v>#REF!</v>
      </c>
      <c r="R11" s="20" t="e">
        <f>SUMIFS(PUBLICACIONESPRESIDENCIA,PERIODOPRESIDENCIA,F1,MESAREPORTARPRESIDENCIA,R2)</f>
        <v>#REF!</v>
      </c>
      <c r="S11" s="20" t="e">
        <f>SUMIFS(PUBLICACIONESPRESIDENCIA,PERIODOPRESIDENCIA,F1,MESAREPORTARPRESIDENCIA,S2)</f>
        <v>#REF!</v>
      </c>
      <c r="T11" s="22" t="e">
        <f t="shared" si="0"/>
        <v>#REF!</v>
      </c>
    </row>
    <row r="12" spans="1:20" ht="39" customHeight="1">
      <c r="A12" s="44" t="s">
        <v>36</v>
      </c>
      <c r="B12" s="19" t="s">
        <v>37</v>
      </c>
      <c r="C12" s="20">
        <v>14</v>
      </c>
      <c r="D12" s="5" t="s">
        <v>485</v>
      </c>
      <c r="E12" s="20" t="s">
        <v>471</v>
      </c>
      <c r="F12" s="5" t="s">
        <v>486</v>
      </c>
      <c r="G12" s="21" t="e">
        <f>((T12/C12)*EXT!A10)</f>
        <v>#REF!</v>
      </c>
      <c r="H12" s="20" t="e">
        <f>SUMIFS(PROGRAMASIMPLEMENTADOSPRESIDENCIA,PERIODOPRESIDENCIA,F1,MESAREPORTARPRESIDENCIA,H2)</f>
        <v>#REF!</v>
      </c>
      <c r="I12" s="20" t="e">
        <f>SUMIFS(PROGRAMASIMPLEMENTADOSPRESIDENCIA,PERIODOPRESIDENCIA,F1,MESAREPORTARPRESIDENCIA,I2)</f>
        <v>#REF!</v>
      </c>
      <c r="J12" s="20" t="e">
        <f>SUMIFS(PROGRAMASIMPLEMENTADOSPRESIDENCIA,PERIODOPRESIDENCIA,H2,MESAREPORTARPRESIDENCIA,J2)</f>
        <v>#REF!</v>
      </c>
      <c r="K12" s="20" t="e">
        <f>SUMIFS(PROGRAMASIMPLEMENTADOSPRESIDENCIA,PERIODOPRESIDENCIA,F1,MESAREPORTARPRESIDENCIA,K2)</f>
        <v>#REF!</v>
      </c>
      <c r="L12" s="20" t="e">
        <f>SUMIFS(PROGRAMASIMPLEMENTADOSPRESIDENCIA,PERIODOPRESIDENCIA,F1,MESAREPORTARPRESIDENCIA,L2)</f>
        <v>#REF!</v>
      </c>
      <c r="M12" s="20" t="e">
        <f>SUMIFS(PROGRAMASIMPLEMENTADOSPRESIDENCIA,PERIODOPRESIDENCIA,F1,MESAREPORTARPRESIDENCIA,M2)</f>
        <v>#REF!</v>
      </c>
      <c r="N12" s="20" t="e">
        <f>SUMIFS(PROGRAMASIMPLEMENTADOSPRESIDENCIA,PERIODOPRESIDENCIA,F1,MESAREPORTARPRESIDENCIA,N2)</f>
        <v>#REF!</v>
      </c>
      <c r="O12" s="20" t="e">
        <f>SUMIFS(PROGRAMASIMPLEMENTADOSPRESIDENCIA,PERIODOPRESIDENCIA,F1,MESAREPORTARPRESIDENCIA,O2)</f>
        <v>#REF!</v>
      </c>
      <c r="P12" s="20" t="e">
        <f>SUMIFS(PROGRAMASIMPLEMENTADOSPRESIDENCIA,PERIODOPRESIDENCIA,F1,MESAREPORTARPRESIDENCIA,P2)</f>
        <v>#REF!</v>
      </c>
      <c r="Q12" s="20" t="e">
        <f>SUMIFS(PROGRAMASIMPLEMENTADOSPRESIDENCIA,PERIODOPRESIDENCIA,F1,MESAREPORTARPRESIDENCIA,Q2)</f>
        <v>#REF!</v>
      </c>
      <c r="R12" s="20" t="e">
        <f>SUMIFS(PROGRAMASIMPLEMENTADOSPRESIDENCIA,PERIODOPRESIDENCIA,F1,MESAREPORTARPRESIDENCIA,R2)</f>
        <v>#REF!</v>
      </c>
      <c r="S12" s="20" t="e">
        <f>SUMIFS(PROGRAMASIMPLEMENTADOSPRESIDENCIA,PERIODOPRESIDENCIA,F1,MESAREPORTARPRESIDENCIA,S2)</f>
        <v>#REF!</v>
      </c>
      <c r="T12" s="22" t="e">
        <f t="shared" si="0"/>
        <v>#REF!</v>
      </c>
    </row>
    <row r="13" spans="1:20" ht="34">
      <c r="A13" s="31"/>
      <c r="B13" s="19" t="s">
        <v>38</v>
      </c>
      <c r="C13" s="20">
        <v>66</v>
      </c>
      <c r="D13" s="5" t="s">
        <v>474</v>
      </c>
      <c r="E13" s="20" t="s">
        <v>471</v>
      </c>
      <c r="F13" s="5" t="s">
        <v>486</v>
      </c>
      <c r="G13" s="21" t="e">
        <f>((T13/C13)*EXT!A11)</f>
        <v>#REF!</v>
      </c>
      <c r="H13" s="20" t="e">
        <f>SUMIFS(PERSONASBENEFICIADASPRESIDENCIA,PERIODOPRESIDENCIA,F1,MESAREPORTARPRESIDENCIA,H2)</f>
        <v>#REF!</v>
      </c>
      <c r="I13" s="20" t="e">
        <f>SUMIFS(PERSONASBENEFICIADASPRESIDENCIA,PERIODOPRESIDENCIA,F1,MESAREPORTARPRESIDENCIA,I2)</f>
        <v>#REF!</v>
      </c>
      <c r="J13" s="20" t="e">
        <f>SUMIFS(PERSONASBENEFICIADASPRESIDENCIA,PERIODOPRESIDENCIA,F1,MESAREPORTARPRESIDENCIA,J2)</f>
        <v>#REF!</v>
      </c>
      <c r="K13" s="20" t="e">
        <f>SUMIFS(PERSONASBENEFICIADASPRESIDENCIA,PERIODOPRESIDENCIA,F1,MESAREPORTARPRESIDENCIA,K2)</f>
        <v>#REF!</v>
      </c>
      <c r="L13" s="20" t="e">
        <f>SUMIFS(PERSONASBENEFICIADASPRESIDENCIA,PERIODOPRESIDENCIA,F1,MESAREPORTARPRESIDENCIA,L2)</f>
        <v>#REF!</v>
      </c>
      <c r="M13" s="20" t="e">
        <f>SUMIFS(PERSONASBENEFICIADASPRESIDENCIA,PERIODOPRESIDENCIA,F1,MESAREPORTARPRESIDENCIA,M2)</f>
        <v>#REF!</v>
      </c>
      <c r="N13" s="20" t="e">
        <f>SUMIFS(PERSONASBENEFICIADASPRESIDENCIA,PERIODOPRESIDENCIA,F1,MESAREPORTARPRESIDENCIA,N2)</f>
        <v>#REF!</v>
      </c>
      <c r="O13" s="20" t="e">
        <f>SUMIFS(PERSONASBENEFICIADASPRESIDENCIA,PERIODOPRESIDENCIA,F1,MESAREPORTARPRESIDENCIA,O2)</f>
        <v>#REF!</v>
      </c>
      <c r="P13" s="20" t="e">
        <f>SUMIFS(PERSONASBENEFICIADASPRESIDENCIA,PERIODOPRESIDENCIA,F1,MESAREPORTARPRESIDENCIA,P2)</f>
        <v>#REF!</v>
      </c>
      <c r="Q13" s="20" t="e">
        <f>SUMIFS(PERSONASBENEFICIADASPRESIDENCIA,PERIODOPRESIDENCIA,F1,MESAREPORTARPRESIDENCIA,Q2)</f>
        <v>#REF!</v>
      </c>
      <c r="R13" s="20" t="e">
        <f>SUMIFS(PERSONASBENEFICIADASPRESIDENCIA,PERIODOPRESIDENCIA,F1,MESAREPORTARPRESIDENCIA,R2)</f>
        <v>#REF!</v>
      </c>
      <c r="S13" s="20" t="e">
        <f>SUMIFS(PERSONASBENEFICIADASPRESIDENCIA,PERIODOPRESIDENCIA,F1,MESAREPORTARPRESIDENCIA,S2)</f>
        <v>#REF!</v>
      </c>
      <c r="T13" s="22" t="e">
        <f t="shared" si="0"/>
        <v>#REF!</v>
      </c>
    </row>
  </sheetData>
  <mergeCells count="8">
    <mergeCell ref="H1:T1"/>
    <mergeCell ref="A3:A4"/>
    <mergeCell ref="A5:A6"/>
    <mergeCell ref="A7:A8"/>
    <mergeCell ref="A9:A11"/>
    <mergeCell ref="A12:A13"/>
    <mergeCell ref="B1:D1"/>
    <mergeCell ref="F1:G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T13"/>
  <sheetViews>
    <sheetView workbookViewId="0">
      <selection activeCell="H3" sqref="H3:T13"/>
    </sheetView>
  </sheetViews>
  <sheetFormatPr baseColWidth="10" defaultColWidth="11.1640625" defaultRowHeight="15" customHeight="1"/>
  <cols>
    <col min="1" max="1" width="26.6640625" customWidth="1"/>
    <col min="2" max="2" width="39.5" customWidth="1"/>
    <col min="3" max="3" width="10.33203125" customWidth="1"/>
    <col min="4" max="4" width="22.33203125" customWidth="1"/>
    <col min="5" max="5" width="15.6640625" customWidth="1"/>
    <col min="6" max="6" width="24.1640625" customWidth="1"/>
    <col min="7" max="7" width="13.6640625" customWidth="1"/>
    <col min="19" max="19" width="12.5" customWidth="1"/>
    <col min="20" max="20" width="16.1640625" customWidth="1"/>
  </cols>
  <sheetData>
    <row r="1" spans="1:20" ht="42.75" customHeight="1">
      <c r="A1" s="17" t="s">
        <v>464</v>
      </c>
      <c r="B1" s="41" t="s">
        <v>24</v>
      </c>
      <c r="C1" s="37"/>
      <c r="D1" s="38"/>
      <c r="E1" s="17" t="s">
        <v>465</v>
      </c>
      <c r="F1" s="45" t="s">
        <v>468</v>
      </c>
      <c r="G1" s="46"/>
      <c r="H1" s="43" t="s">
        <v>0</v>
      </c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8"/>
    </row>
    <row r="2" spans="1:20" ht="34">
      <c r="A2" s="2" t="s">
        <v>4</v>
      </c>
      <c r="B2" s="2" t="s">
        <v>5</v>
      </c>
      <c r="C2" s="2" t="s">
        <v>6</v>
      </c>
      <c r="D2" s="2" t="s">
        <v>7</v>
      </c>
      <c r="E2" s="2" t="s">
        <v>8</v>
      </c>
      <c r="F2" s="2" t="s">
        <v>9</v>
      </c>
      <c r="G2" s="2" t="s">
        <v>10</v>
      </c>
      <c r="H2" s="2" t="s">
        <v>11</v>
      </c>
      <c r="I2" s="3" t="s">
        <v>12</v>
      </c>
      <c r="J2" s="3" t="s">
        <v>13</v>
      </c>
      <c r="K2" s="3" t="s">
        <v>469</v>
      </c>
      <c r="L2" s="3" t="s">
        <v>15</v>
      </c>
      <c r="M2" s="3" t="s">
        <v>16</v>
      </c>
      <c r="N2" s="3" t="s">
        <v>17</v>
      </c>
      <c r="O2" s="3" t="s">
        <v>18</v>
      </c>
      <c r="P2" s="3" t="s">
        <v>19</v>
      </c>
      <c r="Q2" s="3" t="s">
        <v>20</v>
      </c>
      <c r="R2" s="3" t="s">
        <v>21</v>
      </c>
      <c r="S2" s="3" t="s">
        <v>22</v>
      </c>
      <c r="T2" s="2" t="s">
        <v>23</v>
      </c>
    </row>
    <row r="3" spans="1:20" ht="36" customHeight="1">
      <c r="A3" s="44" t="s">
        <v>24</v>
      </c>
      <c r="B3" s="19" t="s">
        <v>25</v>
      </c>
      <c r="C3" s="20">
        <v>180</v>
      </c>
      <c r="D3" s="5" t="s">
        <v>470</v>
      </c>
      <c r="E3" s="20" t="s">
        <v>471</v>
      </c>
      <c r="F3" s="20" t="s">
        <v>472</v>
      </c>
      <c r="G3" s="21" t="e">
        <f>((T3/C3)*EXT!A1)</f>
        <v>#REF!</v>
      </c>
      <c r="H3" s="20" t="e">
        <f>SUMIFS(CITASPRESIDENCIA,PERIODOPRESIDENCIA,F1,MESAREPORTARPRESIDENCIA,H2)</f>
        <v>#REF!</v>
      </c>
      <c r="I3" s="20" t="e">
        <f>SUMIFS(CITASPRESIDENCIA,PERIODOPRESIDENCIA,F1,MESAREPORTARPRESIDENCIA,I2)</f>
        <v>#REF!</v>
      </c>
      <c r="J3" s="20" t="e">
        <f>SUMIFS(CITASPRESIDENCIA,PERIODOPRESIDENCIA,F1,MESAREPORTARPRESIDENCIA,J2)</f>
        <v>#REF!</v>
      </c>
      <c r="K3" s="20" t="e">
        <f>SUMIFS(CITASPRESIDENCIA,PERIODOPRESIDENCIA,F1,MESAREPORTARPRESIDENCIA,K2)</f>
        <v>#REF!</v>
      </c>
      <c r="L3" s="20" t="e">
        <f>SUMIFS(CITASPRESIDENCIA,PERIODOPRESIDENCIA,F1,MESAREPORTARPRESIDENCIA,L2)</f>
        <v>#REF!</v>
      </c>
      <c r="M3" s="20" t="e">
        <f>SUMIFS(CITASPRESIDENCIA,PERIODOPRESIDENCIA,F1,MESAREPORTARPRESIDENCIA,M2)</f>
        <v>#REF!</v>
      </c>
      <c r="N3" s="20" t="e">
        <f>SUMIFS(CITASPRESIDENCIA,PERIODOPRESIDENCIA,F1,MESAREPORTARPRESIDENCIA,N2)</f>
        <v>#REF!</v>
      </c>
      <c r="O3" s="20" t="e">
        <f>SUMIFS(CITASPRESIDENCIA,PERIODOPRESIDENCIA,F1,MESAREPORTARPRESIDENCIA,O2)</f>
        <v>#REF!</v>
      </c>
      <c r="P3" s="20" t="e">
        <f>SUMIFS(CITASPRESIDENCIA,PERIODOPRESIDENCIA,F1,MESAREPORTARPRESIDENCIA,P2)</f>
        <v>#REF!</v>
      </c>
      <c r="Q3" s="20" t="e">
        <f>SUMIFS(CITASPRESIDENCIA,PERIODOPRESIDENCIA,F1,MESAREPORTARPRESIDENCIA,Q2)</f>
        <v>#REF!</v>
      </c>
      <c r="R3" s="20" t="e">
        <f>SUMIFS(CITASPRESIDENCIA,PERIODOPRESIDENCIA,F1,MESAREPORTARPRESIDENCIA,R2)</f>
        <v>#REF!</v>
      </c>
      <c r="S3" s="20" t="e">
        <f>SUMIFS(CITASPRESIDENCIA,PERIODOPRESIDENCIA,F1,MESAREPORTARPRESIDENCIA,S2)</f>
        <v>#REF!</v>
      </c>
      <c r="T3" s="22" t="e">
        <f t="shared" ref="T3:T13" si="0">SUM(H3:S3)</f>
        <v>#REF!</v>
      </c>
    </row>
    <row r="4" spans="1:20" ht="36" customHeight="1">
      <c r="A4" s="31"/>
      <c r="B4" s="19" t="s">
        <v>26</v>
      </c>
      <c r="C4" s="20">
        <v>780</v>
      </c>
      <c r="D4" s="5" t="s">
        <v>473</v>
      </c>
      <c r="E4" s="20" t="s">
        <v>471</v>
      </c>
      <c r="F4" s="20" t="s">
        <v>472</v>
      </c>
      <c r="G4" s="21" t="e">
        <f>((T4/C4)*EXT!A2)</f>
        <v>#REF!</v>
      </c>
      <c r="H4" s="20" t="e">
        <f>SUMIFS(PERSONASATENDIDASPRESIDENCIA,PERIODOPRESIDENCIA,F1,MESAREPORTARPRESIDENCIA,H2)</f>
        <v>#REF!</v>
      </c>
      <c r="I4" s="20" t="e">
        <f>SUMIFS(PERSONASATENDIDASPRESIDENCIA,PERIODOPRESIDENCIA,F1,MESAREPORTARPRESIDENCIA,I2)</f>
        <v>#REF!</v>
      </c>
      <c r="J4" s="20" t="e">
        <f>SUMIFS(PERSONASATENDIDASPRESIDENCIA,PERIODOPRESIDENCIA,F1,MESAREPORTARPRESIDENCIA,J2)</f>
        <v>#REF!</v>
      </c>
      <c r="K4" s="20" t="e">
        <f>SUMIFS(PERSONASATENDIDASPRESIDENCIA,PERIODOPRESIDENCIA,F1,MESAREPORTARPRESIDENCIA,K2)</f>
        <v>#REF!</v>
      </c>
      <c r="L4" s="20" t="e">
        <f>SUMIFS(PERSONASATENDIDASPRESIDENCIA,PERIODOPRESIDENCIA,F1,MESAREPORTARPRESIDENCIA,L2)</f>
        <v>#REF!</v>
      </c>
      <c r="M4" s="20" t="e">
        <f>SUMIFS(PERSONASATENDIDASPRESIDENCIA,PERIODOPRESIDENCIA,H1,MESAREPORTARPRESIDENCIA,M2)</f>
        <v>#REF!</v>
      </c>
      <c r="N4" s="20" t="e">
        <f>SUMIFS(PERSONASATENDIDASPRESIDENCIA,PERIODOPRESIDENCIA,F1,MESAREPORTARPRESIDENCIA,N2)</f>
        <v>#REF!</v>
      </c>
      <c r="O4" s="20" t="e">
        <f>SUMIFS(PERSONASATENDIDASPRESIDENCIA,PERIODOPRESIDENCIA,F1,MESAREPORTARPRESIDENCIA,O2)</f>
        <v>#REF!</v>
      </c>
      <c r="P4" s="20" t="e">
        <f>SUMIFS(PERSONASATENDIDASPRESIDENCIA,PERIODOPRESIDENCIA,F1,MESAREPORTARPRESIDENCIA,P2)</f>
        <v>#REF!</v>
      </c>
      <c r="Q4" s="20" t="e">
        <f>SUMIFS(PERSONASATENDIDASPRESIDENCIA,PERIODOPRESIDENCIA,F1,MESAREPORTARPRESIDENCIA,Q2)</f>
        <v>#REF!</v>
      </c>
      <c r="R4" s="20" t="e">
        <f>SUMIFS(PERSONASATENDIDASPRESIDENCIA,PERIODOPRESIDENCIA,F1,MESAREPORTARPRESIDENCIA,R2)</f>
        <v>#REF!</v>
      </c>
      <c r="S4" s="20" t="e">
        <f>SUMIFS(PERSONASATENDIDASPRESIDENCIA,PERIODOPRESIDENCIA,F1,MESAREPORTARPRESIDENCIA,S2)</f>
        <v>#REF!</v>
      </c>
      <c r="T4" s="22" t="e">
        <f t="shared" si="0"/>
        <v>#REF!</v>
      </c>
    </row>
    <row r="5" spans="1:20" ht="36.75" customHeight="1">
      <c r="A5" s="44" t="s">
        <v>27</v>
      </c>
      <c r="B5" s="19" t="s">
        <v>26</v>
      </c>
      <c r="C5" s="20">
        <v>780</v>
      </c>
      <c r="D5" s="5" t="s">
        <v>474</v>
      </c>
      <c r="E5" s="20" t="s">
        <v>471</v>
      </c>
      <c r="F5" s="20" t="s">
        <v>472</v>
      </c>
      <c r="G5" s="21" t="e">
        <f>((T5/C5)*EXT!A3)</f>
        <v>#REF!</v>
      </c>
      <c r="H5" s="20" t="e">
        <f>SUMIFS(PERSONASPRESIDENCIA,PERIODOPRESIDENCIA,F1,MESAREPORTARPRESIDENCIA,H2)</f>
        <v>#REF!</v>
      </c>
      <c r="I5" s="20" t="e">
        <f>SUMIFS(PERSONASPRESIDENCIA,PERIODOPRESIDENCIA,F1,MESAREPORTARPRESIDENCIA,I2)</f>
        <v>#REF!</v>
      </c>
      <c r="J5" s="20" t="e">
        <f>SUMIFS(PERSONASPRESIDENCIA,PERIODOPRESIDENCIA,H1,MESAREPORTARPRESIDENCIA,J2)</f>
        <v>#REF!</v>
      </c>
      <c r="K5" s="20" t="e">
        <f>SUMIFS(PERSONASPRESIDENCIA,PERIODOPRESIDENCIA,F1,MESAREPORTARPRESIDENCIA,K2)</f>
        <v>#REF!</v>
      </c>
      <c r="L5" s="20" t="e">
        <f>SUMIFS(PERSONASPRESIDENCIA,PERIODOPRESIDENCIA,F1,MESAREPORTARPRESIDENCIA,L2)</f>
        <v>#REF!</v>
      </c>
      <c r="M5" s="20" t="e">
        <f>SUMIFS(PERSONASPRESIDENCIA,PERIODOPRESIDENCIA,H1,MESAREPORTARPRESIDENCIA,M2)</f>
        <v>#REF!</v>
      </c>
      <c r="N5" s="20" t="e">
        <f>SUMIFS(PERSONASPRESIDENCIA,PERIODOPRESIDENCIA,F1,MESAREPORTARPRESIDENCIA,N2)</f>
        <v>#REF!</v>
      </c>
      <c r="O5" s="20" t="e">
        <f>SUMIFS(PERSONASPRESIDENCIA,PERIODOPRESIDENCIA,F1,MESAREPORTARPRESIDENCIA,O2)</f>
        <v>#REF!</v>
      </c>
      <c r="P5" s="20" t="e">
        <f>SUMIFS(PERSONASPRESIDENCIA,PERIODOPRESIDENCIA,F1,MESAREPORTARPRESIDENCIA,P2)</f>
        <v>#REF!</v>
      </c>
      <c r="Q5" s="20" t="e">
        <f>SUMIFS(PERSONASPRESIDENCIA,PERIODOPRESIDENCIA,F1,MESAREPORTARPRESIDENCIA,Q2)</f>
        <v>#REF!</v>
      </c>
      <c r="R5" s="20" t="e">
        <f>SUMIFS(PERSONASPRESIDENCIA,PERIODOPRESIDENCIA,F1,MESAREPORTARPRESIDENCIA,R2)</f>
        <v>#REF!</v>
      </c>
      <c r="S5" s="20" t="e">
        <f>SUMIFS(PERSONASPRESIDENCIA,PERIODOPRESIDENCIA,F1,MESAREPORTARPRESIDENCIA,S2)</f>
        <v>#REF!</v>
      </c>
      <c r="T5" s="22" t="e">
        <f t="shared" si="0"/>
        <v>#REF!</v>
      </c>
    </row>
    <row r="6" spans="1:20" ht="33.75" customHeight="1">
      <c r="A6" s="31"/>
      <c r="B6" s="19" t="s">
        <v>28</v>
      </c>
      <c r="C6" s="20">
        <v>100</v>
      </c>
      <c r="D6" s="5" t="s">
        <v>475</v>
      </c>
      <c r="E6" s="20" t="s">
        <v>471</v>
      </c>
      <c r="F6" s="20" t="s">
        <v>476</v>
      </c>
      <c r="G6" s="21" t="e">
        <f>((T6/C6)*EXT!A4)</f>
        <v>#REF!</v>
      </c>
      <c r="H6" s="20" t="e">
        <f>SUMIFS(ACUERDOSPRESIDENCIA,PERIODOPRESIDENCIA,F1,MESAREPORTARPRESIDENCIA,H2)</f>
        <v>#REF!</v>
      </c>
      <c r="I6" s="20" t="e">
        <f>SUMIFS(ACUERDOSPRESIDENCIA,PERIODOPRESIDENCIA,F1,MESAREPORTARPRESIDENCIA,I2)</f>
        <v>#REF!</v>
      </c>
      <c r="J6" s="20" t="e">
        <f>SUMIFS(ACUERDOSPRESIDENCIA,PERIODOPRESIDENCIA,F1,MESAREPORTARPRESIDENCIA,J2)</f>
        <v>#REF!</v>
      </c>
      <c r="K6" s="20" t="e">
        <f>SUMIFS(ACUERDOSPRESIDENCIA,PERIODOPRESIDENCIA,F1,MESAREPORTARPRESIDENCIA,K2)</f>
        <v>#REF!</v>
      </c>
      <c r="L6" s="20" t="e">
        <f>SUMIFS(ACUERDOSPRESIDENCIA,PERIODOPRESIDENCIA,F1,MESAREPORTARPRESIDENCIA,L2)</f>
        <v>#REF!</v>
      </c>
      <c r="M6" s="20" t="e">
        <f>SUMIFS(ACUERDOSPRESIDENCIA,PERIODOPRESIDENCIA,F1,MESAREPORTARPRESIDENCIA,M2)</f>
        <v>#REF!</v>
      </c>
      <c r="N6" s="20" t="e">
        <f>SUMIFS(ACUERDOSPRESIDENCIA,PERIODOPRESIDENCIA,F1,MESAREPORTARPRESIDENCIA,N2)</f>
        <v>#REF!</v>
      </c>
      <c r="O6" s="20" t="e">
        <f>SUMIFS(ACUERDOSPRESIDENCIA,PERIODOPRESIDENCIA,F1,MESAREPORTARPRESIDENCIA,O2)</f>
        <v>#REF!</v>
      </c>
      <c r="P6" s="20" t="e">
        <f>SUMIFS(ACUERDOSPRESIDENCIA,PERIODOPRESIDENCIA,F1,MESAREPORTARPRESIDENCIA,P2)</f>
        <v>#REF!</v>
      </c>
      <c r="Q6" s="20" t="e">
        <f>SUMIFS(ACUERDOSPRESIDENCIA,PERIODOPRESIDENCIA,F1,MESAREPORTARPRESIDENCIA,Q2)</f>
        <v>#REF!</v>
      </c>
      <c r="R6" s="20" t="e">
        <f>SUMIFS(ACUERDOSPRESIDENCIA,PERIODOPRESIDENCIA,F1,MESAREPORTARPRESIDENCIA,R2)</f>
        <v>#REF!</v>
      </c>
      <c r="S6" s="20" t="e">
        <f>SUMIFS(ACUERDOSPRESIDENCIA,PERIODOPRESIDENCIA,F1,MESAREPORTARPRESIDENCIA,S2)</f>
        <v>#REF!</v>
      </c>
      <c r="T6" s="22" t="e">
        <f t="shared" si="0"/>
        <v>#REF!</v>
      </c>
    </row>
    <row r="7" spans="1:20" ht="34.5" customHeight="1">
      <c r="A7" s="44" t="s">
        <v>29</v>
      </c>
      <c r="B7" s="19" t="s">
        <v>30</v>
      </c>
      <c r="C7" s="20">
        <v>350</v>
      </c>
      <c r="D7" s="5" t="s">
        <v>477</v>
      </c>
      <c r="E7" s="20" t="s">
        <v>471</v>
      </c>
      <c r="F7" s="20" t="s">
        <v>478</v>
      </c>
      <c r="G7" s="21" t="e">
        <f>((T7/C7)*EXT!A5)</f>
        <v>#REF!</v>
      </c>
      <c r="H7" s="20" t="e">
        <f>SUMIFS(SOLICITUDESPRESIDENCIA,PERIODOPRESIDENCIA,F1,MESAREPORTARPRESIDENCIA,H2)</f>
        <v>#REF!</v>
      </c>
      <c r="I7" s="20" t="e">
        <f>SUMIFS(SOLICITUDESPRESIDENCIA,PERIODOPRESIDENCIA,F1,MESAREPORTARPRESIDENCIA,I2)</f>
        <v>#REF!</v>
      </c>
      <c r="J7" s="20" t="e">
        <f>SUMIFS(SOLICITUDESPRESIDENCIA,PERIODOPRESIDENCIA,F1,MESAREPORTARPRESIDENCIA,J2)</f>
        <v>#REF!</v>
      </c>
      <c r="K7" s="20" t="e">
        <f>SUMIFS(SOLICITUDESPRESIDENCIA,PERIODOPRESIDENCIA,F1,MESAREPORTARPRESIDENCIA,K2)</f>
        <v>#REF!</v>
      </c>
      <c r="L7" s="20" t="e">
        <f>SUMIFS(SOLICITUDESPRESIDENCIA,PERIODOPRESIDENCIA,F1,MESAREPORTARPRESIDENCIA,L2)</f>
        <v>#REF!</v>
      </c>
      <c r="M7" s="20" t="e">
        <f>SUMIFS(SOLICITUDESPRESIDENCIA,PERIODOPRESIDENCIA,F1,MESAREPORTARPRESIDENCIA,M2)</f>
        <v>#REF!</v>
      </c>
      <c r="N7" s="20" t="e">
        <f>SUMIFS(SOLICITUDESPRESIDENCIA,PERIODOPRESIDENCIA,F1,MESAREPORTARPRESIDENCIA,N2)</f>
        <v>#REF!</v>
      </c>
      <c r="O7" s="20" t="e">
        <f>SUMIFS(SOLICITUDESPRESIDENCIA,PERIODOPRESIDENCIA,F1,MESAREPORTARPRESIDENCIA,O2)</f>
        <v>#REF!</v>
      </c>
      <c r="P7" s="20" t="e">
        <f>SUMIFS(SOLICITUDESPRESIDENCIA,PERIODOPRESIDENCIA,F1,MESAREPORTARPRESIDENCIA,P2)</f>
        <v>#REF!</v>
      </c>
      <c r="Q7" s="20" t="e">
        <f>SUMIFS(SOLICITUDESPRESIDENCIA,PERIODOPRESIDENCIA,F1,MESAREPORTARPRESIDENCIA,Q2)</f>
        <v>#REF!</v>
      </c>
      <c r="R7" s="20" t="e">
        <f>SUMIFS(SOLICITUDESPRESIDENCIA,PERIODOPRESIDENCIA,F1,MESAREPORTARPRESIDENCIA,R2)</f>
        <v>#REF!</v>
      </c>
      <c r="S7" s="20" t="e">
        <f>SUMIFS(SOLICITUDESPRESIDENCIA,PERIODOPRESIDENCIA,F1,MESAREPORTARPRESIDENCIA,S2)</f>
        <v>#REF!</v>
      </c>
      <c r="T7" s="22" t="e">
        <f t="shared" si="0"/>
        <v>#REF!</v>
      </c>
    </row>
    <row r="8" spans="1:20" ht="33" customHeight="1">
      <c r="A8" s="31"/>
      <c r="B8" s="19" t="s">
        <v>31</v>
      </c>
      <c r="C8" s="20">
        <v>12</v>
      </c>
      <c r="D8" s="5" t="s">
        <v>479</v>
      </c>
      <c r="E8" s="20" t="s">
        <v>471</v>
      </c>
      <c r="F8" s="5" t="s">
        <v>480</v>
      </c>
      <c r="G8" s="21" t="e">
        <f>((T8/C8)*EXT!A6)</f>
        <v>#REF!</v>
      </c>
      <c r="H8" s="20" t="e">
        <f>SUMIFS(CAPACITACIONESPRESIDENCIA,PERIODOPRESIDENCIA,F1,MESAREPORTARPRESIDENCIA,H2)</f>
        <v>#REF!</v>
      </c>
      <c r="I8" s="20" t="e">
        <f>SUMIFS(CAPACITACIONESPRESIDENCIA,PERIODOPRESIDENCIA,F1,MESAREPORTARPRESIDENCIA,I2)</f>
        <v>#REF!</v>
      </c>
      <c r="J8" s="20" t="e">
        <f>SUMIFS(CAPACITACIONESPRESIDENCIA,PERIODOPRESIDENCIA,H1,MESAREPORTARPRESIDENCIA,J2)</f>
        <v>#REF!</v>
      </c>
      <c r="K8" s="20" t="e">
        <f>SUMIFS(CAPACITACIONESPRESIDENCIA,PERIODOPRESIDENCIA,F1,MESAREPORTARPRESIDENCIA,K2)</f>
        <v>#REF!</v>
      </c>
      <c r="L8" s="20" t="e">
        <f>SUMIFS(CAPACITACIONESPRESIDENCIA,PERIODOPRESIDENCIA,F1,MESAREPORTARPRESIDENCIA,L2)</f>
        <v>#REF!</v>
      </c>
      <c r="M8" s="20" t="e">
        <f>SUMIFS(CAPACITACIONESPRESIDENCIA,PERIODOPRESIDENCIA,F1,MESAREPORTARPRESIDENCIA,M2)</f>
        <v>#REF!</v>
      </c>
      <c r="N8" s="20" t="e">
        <f>SUMIFS(CAPACITACIONESPRESIDENCIA,PERIODOPRESIDENCIA,F1,MESAREPORTARPRESIDENCIA,N2)</f>
        <v>#REF!</v>
      </c>
      <c r="O8" s="20" t="e">
        <f>SUMIFS(CAPACITACIONESPRESIDENCIA,PERIODOPRESIDENCIA,F1,MESAREPORTARPRESIDENCIA,O2)</f>
        <v>#REF!</v>
      </c>
      <c r="P8" s="20" t="e">
        <f>SUMIFS(CAPACITACIONESPRESIDENCIA,PERIODOPRESIDENCIA,F1,MESAREPORTARPRESIDENCIA,P2)</f>
        <v>#REF!</v>
      </c>
      <c r="Q8" s="20" t="e">
        <f>SUMIFS(CAPACITACIONESPRESIDENCIA,PERIODOPRESIDENCIA,F1,MESAREPORTARPRESIDENCIA,Q2)</f>
        <v>#REF!</v>
      </c>
      <c r="R8" s="20" t="e">
        <f>SUMIFS(CAPACITACIONESPRESIDENCIA,PERIODOPRESIDENCIA,F1,MESAREPORTARPRESIDENCIA,R2)</f>
        <v>#REF!</v>
      </c>
      <c r="S8" s="20" t="e">
        <f>SUMIFS(CAPACITACIONESPRESIDENCIA,PERIODOPRESIDENCIA,F1,MESAREPORTARPRESIDENCIA,S2)</f>
        <v>#REF!</v>
      </c>
      <c r="T8" s="22" t="e">
        <f t="shared" si="0"/>
        <v>#REF!</v>
      </c>
    </row>
    <row r="9" spans="1:20" ht="34">
      <c r="A9" s="44" t="s">
        <v>32</v>
      </c>
      <c r="B9" s="19" t="s">
        <v>33</v>
      </c>
      <c r="C9" s="20">
        <v>520</v>
      </c>
      <c r="D9" s="5" t="s">
        <v>481</v>
      </c>
      <c r="E9" s="20" t="s">
        <v>471</v>
      </c>
      <c r="F9" s="20" t="s">
        <v>482</v>
      </c>
      <c r="G9" s="21" t="e">
        <f>((T9/C9)*EXT!A7)</f>
        <v>#REF!</v>
      </c>
      <c r="H9" s="20" t="e">
        <f>SUMIFS(NOTASPRESIDENCIA,PERIODOPRESIDENCIA,F1,MESAREPORTARPRESIDENCIA,H2)</f>
        <v>#REF!</v>
      </c>
      <c r="I9" s="20" t="e">
        <f>SUMIFS(NOTASPRESIDENCIA,PERIODOPRESIDENCIA,F1,MESAREPORTARPRESIDENCIA,I2)</f>
        <v>#REF!</v>
      </c>
      <c r="J9" s="20" t="e">
        <f>SUMIFS(NOTASPRESIDENCIA,PERIODOPRESIDENCIA,F1,MESAREPORTARPRESIDENCIA,J2)</f>
        <v>#REF!</v>
      </c>
      <c r="K9" s="20" t="e">
        <f>SUMIFS(NOTASPRESIDENCIA,PERIODOPRESIDENCIA,F1,MESAREPORTARPRESIDENCIA,K2)</f>
        <v>#REF!</v>
      </c>
      <c r="L9" s="20" t="e">
        <f>SUMIFS(NOTASPRESIDENCIA,PERIODOPRESIDENCIA,F1,MESAREPORTARPRESIDENCIA,L2)</f>
        <v>#REF!</v>
      </c>
      <c r="M9" s="20" t="e">
        <f>SUMIFS(NOTASPRESIDENCIA,PERIODOPRESIDENCIA,F1,MESAREPORTARPRESIDENCIA,M2)</f>
        <v>#REF!</v>
      </c>
      <c r="N9" s="20" t="e">
        <f>SUMIFS(NOTASPRESIDENCIA,PERIODOPRESIDENCIA,F1,MESAREPORTARPRESIDENCIA,N2)</f>
        <v>#REF!</v>
      </c>
      <c r="O9" s="20" t="e">
        <f>SUMIFS(NOTASPRESIDENCIA,PERIODOPRESIDENCIA,F1,MESAREPORTARPRESIDENCIA,O2)</f>
        <v>#REF!</v>
      </c>
      <c r="P9" s="20" t="e">
        <f>SUMIFS(NOTASPRESIDENCIA,PERIODOPRESIDENCIA,F1,MESAREPORTARPRESIDENCIA,P2)</f>
        <v>#REF!</v>
      </c>
      <c r="Q9" s="20" t="e">
        <f>SUMIFS(NOTASPRESIDENCIA,PERIODOPRESIDENCIA,F1,MESAREPORTARPRESIDENCIA,Q2)</f>
        <v>#REF!</v>
      </c>
      <c r="R9" s="20" t="e">
        <f>SUMIFS(NOTASPRESIDENCIA,PERIODOPRESIDENCIA,F1,MESAREPORTARPRESIDENCIA,R2)</f>
        <v>#REF!</v>
      </c>
      <c r="S9" s="20" t="e">
        <f>SUMIFS(NOTASPRESIDENCIA,PERIODOPRESIDENCIA,F1,MESAREPORTARPRESIDENCIA,S2)</f>
        <v>#REF!</v>
      </c>
      <c r="T9" s="22" t="e">
        <f t="shared" si="0"/>
        <v>#REF!</v>
      </c>
    </row>
    <row r="10" spans="1:20" ht="34">
      <c r="A10" s="30"/>
      <c r="B10" s="19" t="s">
        <v>34</v>
      </c>
      <c r="C10" s="20">
        <v>500</v>
      </c>
      <c r="D10" s="5" t="s">
        <v>483</v>
      </c>
      <c r="E10" s="20" t="s">
        <v>471</v>
      </c>
      <c r="F10" s="20" t="s">
        <v>482</v>
      </c>
      <c r="G10" s="21" t="e">
        <f>((T10/C10)*EXT!A8)</f>
        <v>#REF!</v>
      </c>
      <c r="H10" s="20" t="e">
        <f>SUMIFS(DISEÑOSPRESIDENCIA,PERIODOPRESIDENCIA,F1,MESAREPORTARPRESIDENCIA,H2)</f>
        <v>#REF!</v>
      </c>
      <c r="I10" s="20" t="e">
        <f>SUMIFS(DISEÑOSPRESIDENCIA,PERIODOPRESIDENCIA,F1,MESAREPORTARPRESIDENCIA,I2)</f>
        <v>#REF!</v>
      </c>
      <c r="J10" s="20" t="e">
        <f>SUMIFS(DISEÑOSPRESIDENCIA,PERIODOPRESIDENCIA,F1,MESAREPORTARPRESIDENCIA,J2)</f>
        <v>#REF!</v>
      </c>
      <c r="K10" s="20" t="e">
        <f>SUMIFS(DISEÑOSPRESIDENCIA,PERIODOPRESIDENCIA,F1,MESAREPORTARPRESIDENCIA,K2)</f>
        <v>#REF!</v>
      </c>
      <c r="L10" s="20" t="e">
        <f>SUMIFS(DISEÑOSPRESIDENCIA,PERIODOPRESIDENCIA,F1,MESAREPORTARPRESIDENCIA,L2)</f>
        <v>#REF!</v>
      </c>
      <c r="M10" s="20" t="e">
        <f>SUMIFS(DISEÑOSPRESIDENCIA,PERIODOPRESIDENCIA,F1,MESAREPORTARPRESIDENCIA,M2)</f>
        <v>#REF!</v>
      </c>
      <c r="N10" s="20" t="e">
        <f>SUMIFS(DISEÑOSPRESIDENCIA,PERIODOPRESIDENCIA,F1,MESAREPORTARPRESIDENCIA,N2)</f>
        <v>#REF!</v>
      </c>
      <c r="O10" s="20" t="e">
        <f>SUMIFS(DISEÑOSPRESIDENCIA,PERIODOPRESIDENCIA,F1,MESAREPORTARPRESIDENCIA,O2)</f>
        <v>#REF!</v>
      </c>
      <c r="P10" s="20" t="e">
        <f>SUMIFS(DISEÑOSPRESIDENCIA,PERIODOPRESIDENCIA,F1,MESAREPORTARPRESIDENCIA,P2)</f>
        <v>#REF!</v>
      </c>
      <c r="Q10" s="20" t="e">
        <f>SUMIFS(DISEÑOSPRESIDENCIA,PERIODOPRESIDENCIA,F1,MESAREPORTARPRESIDENCIA,Q2)</f>
        <v>#REF!</v>
      </c>
      <c r="R10" s="20" t="e">
        <f>SUMIFS(DISEÑOSPRESIDENCIA,PERIODOPRESIDENCIA,F1,MESAREPORTARPRESIDENCIA,R2)</f>
        <v>#REF!</v>
      </c>
      <c r="S10" s="20" t="e">
        <f>SUMIFS(DISEÑOSPRESIDENCIA,PERIODOPRESIDENCIA,F1,MESAREPORTARPRESIDENCIA,S2)</f>
        <v>#REF!</v>
      </c>
      <c r="T10" s="22" t="e">
        <f t="shared" si="0"/>
        <v>#REF!</v>
      </c>
    </row>
    <row r="11" spans="1:20" ht="34">
      <c r="A11" s="31"/>
      <c r="B11" s="19" t="s">
        <v>35</v>
      </c>
      <c r="C11" s="20">
        <v>320</v>
      </c>
      <c r="D11" s="5" t="s">
        <v>484</v>
      </c>
      <c r="E11" s="20" t="s">
        <v>471</v>
      </c>
      <c r="F11" s="20" t="s">
        <v>482</v>
      </c>
      <c r="G11" s="21" t="e">
        <f>((T11/C11)*EXT!A9)</f>
        <v>#REF!</v>
      </c>
      <c r="H11" s="20" t="e">
        <f>SUMIFS(PUBLICACIONESPRESIDENCIA,PERIODOPRESIDENCIA,F1,MESAREPORTARPRESIDENCIA,H2)</f>
        <v>#REF!</v>
      </c>
      <c r="I11" s="20" t="e">
        <f>SUMIFS(PUBLICACIONESPRESIDENCIA,PERIODOPRESIDENCIA,F1,MESAREPORTARPRESIDENCIA,I2)</f>
        <v>#REF!</v>
      </c>
      <c r="J11" s="20" t="e">
        <f>SUMIFS(PUBLICACIONESPRESIDENCIA,PERIODOPRESIDENCIA,F1,MESAREPORTARPRESIDENCIA,J2)</f>
        <v>#REF!</v>
      </c>
      <c r="K11" s="20" t="e">
        <f>SUMIFS(PUBLICACIONESPRESIDENCIA,PERIODOPRESIDENCIA,F1,MESAREPORTARPRESIDENCIA,K2)</f>
        <v>#REF!</v>
      </c>
      <c r="L11" s="20" t="e">
        <f>SUMIFS(PUBLICACIONESPRESIDENCIA,PERIODOPRESIDENCIA,F1,MESAREPORTARPRESIDENCIA,L2)</f>
        <v>#REF!</v>
      </c>
      <c r="M11" s="20" t="e">
        <f>SUMIFS(PUBLICACIONESPRESIDENCIA,PERIODOPRESIDENCIA,F1,MESAREPORTARPRESIDENCIA,M2)</f>
        <v>#REF!</v>
      </c>
      <c r="N11" s="20" t="e">
        <f>SUMIFS(PUBLICACIONESPRESIDENCIA,PERIODOPRESIDENCIA,F1,MESAREPORTARPRESIDENCIA,N2)</f>
        <v>#REF!</v>
      </c>
      <c r="O11" s="20" t="e">
        <f>SUMIFS(PUBLICACIONESPRESIDENCIA,PERIODOPRESIDENCIA,F1,MESAREPORTARPRESIDENCIA,O2)</f>
        <v>#REF!</v>
      </c>
      <c r="P11" s="20" t="e">
        <f>SUMIFS(PUBLICACIONESPRESIDENCIA,PERIODOPRESIDENCIA,F1,MESAREPORTARPRESIDENCIA,P2)</f>
        <v>#REF!</v>
      </c>
      <c r="Q11" s="20" t="e">
        <f>SUMIFS(PUBLICACIONESPRESIDENCIA,PERIODOPRESIDENCIA,F1,MESAREPORTARPRESIDENCIA,Q2)</f>
        <v>#REF!</v>
      </c>
      <c r="R11" s="20" t="e">
        <f>SUMIFS(PUBLICACIONESPRESIDENCIA,PERIODOPRESIDENCIA,F1,MESAREPORTARPRESIDENCIA,R2)</f>
        <v>#REF!</v>
      </c>
      <c r="S11" s="20" t="e">
        <f>SUMIFS(PUBLICACIONESPRESIDENCIA,PERIODOPRESIDENCIA,F1,MESAREPORTARPRESIDENCIA,S2)</f>
        <v>#REF!</v>
      </c>
      <c r="T11" s="22" t="e">
        <f t="shared" si="0"/>
        <v>#REF!</v>
      </c>
    </row>
    <row r="12" spans="1:20" ht="39" customHeight="1">
      <c r="A12" s="44" t="s">
        <v>36</v>
      </c>
      <c r="B12" s="19" t="s">
        <v>37</v>
      </c>
      <c r="C12" s="20">
        <v>14</v>
      </c>
      <c r="D12" s="5" t="s">
        <v>485</v>
      </c>
      <c r="E12" s="20" t="s">
        <v>471</v>
      </c>
      <c r="F12" s="5" t="s">
        <v>486</v>
      </c>
      <c r="G12" s="21" t="e">
        <f>((T12/C12)*EXT!A10)</f>
        <v>#REF!</v>
      </c>
      <c r="H12" s="20" t="e">
        <f>SUMIFS(PROGRAMASIMPLEMENTADOSPRESIDENCIA,PERIODOPRESIDENCIA,F1,MESAREPORTARPRESIDENCIA,H2)</f>
        <v>#REF!</v>
      </c>
      <c r="I12" s="20" t="e">
        <f>SUMIFS(PROGRAMASIMPLEMENTADOSPRESIDENCIA,PERIODOPRESIDENCIA,F1,MESAREPORTARPRESIDENCIA,I2)</f>
        <v>#REF!</v>
      </c>
      <c r="J12" s="20" t="e">
        <f>SUMIFS(PROGRAMASIMPLEMENTADOSPRESIDENCIA,PERIODOPRESIDENCIA,H2,MESAREPORTARPRESIDENCIA,J2)</f>
        <v>#REF!</v>
      </c>
      <c r="K12" s="20" t="e">
        <f>SUMIFS(PROGRAMASIMPLEMENTADOSPRESIDENCIA,PERIODOPRESIDENCIA,F1,MESAREPORTARPRESIDENCIA,K2)</f>
        <v>#REF!</v>
      </c>
      <c r="L12" s="20" t="e">
        <f>SUMIFS(PROGRAMASIMPLEMENTADOSPRESIDENCIA,PERIODOPRESIDENCIA,F1,MESAREPORTARPRESIDENCIA,L2)</f>
        <v>#REF!</v>
      </c>
      <c r="M12" s="20" t="e">
        <f>SUMIFS(PROGRAMASIMPLEMENTADOSPRESIDENCIA,PERIODOPRESIDENCIA,F1,MESAREPORTARPRESIDENCIA,M2)</f>
        <v>#REF!</v>
      </c>
      <c r="N12" s="20" t="e">
        <f>SUMIFS(PROGRAMASIMPLEMENTADOSPRESIDENCIA,PERIODOPRESIDENCIA,F1,MESAREPORTARPRESIDENCIA,N2)</f>
        <v>#REF!</v>
      </c>
      <c r="O12" s="20" t="e">
        <f>SUMIFS(PROGRAMASIMPLEMENTADOSPRESIDENCIA,PERIODOPRESIDENCIA,F1,MESAREPORTARPRESIDENCIA,O2)</f>
        <v>#REF!</v>
      </c>
      <c r="P12" s="20" t="e">
        <f>SUMIFS(PROGRAMASIMPLEMENTADOSPRESIDENCIA,PERIODOPRESIDENCIA,F1,MESAREPORTARPRESIDENCIA,P2)</f>
        <v>#REF!</v>
      </c>
      <c r="Q12" s="20" t="e">
        <f>SUMIFS(PROGRAMASIMPLEMENTADOSPRESIDENCIA,PERIODOPRESIDENCIA,F1,MESAREPORTARPRESIDENCIA,Q2)</f>
        <v>#REF!</v>
      </c>
      <c r="R12" s="20" t="e">
        <f>SUMIFS(PROGRAMASIMPLEMENTADOSPRESIDENCIA,PERIODOPRESIDENCIA,F1,MESAREPORTARPRESIDENCIA,R2)</f>
        <v>#REF!</v>
      </c>
      <c r="S12" s="20" t="e">
        <f>SUMIFS(PROGRAMASIMPLEMENTADOSPRESIDENCIA,PERIODOPRESIDENCIA,F1,MESAREPORTARPRESIDENCIA,S2)</f>
        <v>#REF!</v>
      </c>
      <c r="T12" s="22" t="e">
        <f t="shared" si="0"/>
        <v>#REF!</v>
      </c>
    </row>
    <row r="13" spans="1:20" ht="34">
      <c r="A13" s="31"/>
      <c r="B13" s="19" t="s">
        <v>38</v>
      </c>
      <c r="C13" s="20">
        <v>66</v>
      </c>
      <c r="D13" s="5" t="s">
        <v>474</v>
      </c>
      <c r="E13" s="20" t="s">
        <v>471</v>
      </c>
      <c r="F13" s="5" t="s">
        <v>486</v>
      </c>
      <c r="G13" s="21" t="e">
        <f>((T13/C13)*EXT!A11)</f>
        <v>#REF!</v>
      </c>
      <c r="H13" s="20" t="e">
        <f>SUMIFS(PERSONASBENEFICIADASPRESIDENCIA,PERIODOPRESIDENCIA,F1,MESAREPORTARPRESIDENCIA,H2)</f>
        <v>#REF!</v>
      </c>
      <c r="I13" s="20" t="e">
        <f>SUMIFS(PERSONASBENEFICIADASPRESIDENCIA,PERIODOPRESIDENCIA,F1,MESAREPORTARPRESIDENCIA,I2)</f>
        <v>#REF!</v>
      </c>
      <c r="J13" s="20" t="e">
        <f>SUMIFS(PERSONASBENEFICIADASPRESIDENCIA,PERIODOPRESIDENCIA,F1,MESAREPORTARPRESIDENCIA,J2)</f>
        <v>#REF!</v>
      </c>
      <c r="K13" s="20" t="e">
        <f>SUMIFS(PERSONASBENEFICIADASPRESIDENCIA,PERIODOPRESIDENCIA,F1,MESAREPORTARPRESIDENCIA,K2)</f>
        <v>#REF!</v>
      </c>
      <c r="L13" s="20" t="e">
        <f>SUMIFS(PERSONASBENEFICIADASPRESIDENCIA,PERIODOPRESIDENCIA,F1,MESAREPORTARPRESIDENCIA,L2)</f>
        <v>#REF!</v>
      </c>
      <c r="M13" s="20" t="e">
        <f>SUMIFS(PERSONASBENEFICIADASPRESIDENCIA,PERIODOPRESIDENCIA,F1,MESAREPORTARPRESIDENCIA,M2)</f>
        <v>#REF!</v>
      </c>
      <c r="N13" s="20" t="e">
        <f>SUMIFS(PERSONASBENEFICIADASPRESIDENCIA,PERIODOPRESIDENCIA,F1,MESAREPORTARPRESIDENCIA,N2)</f>
        <v>#REF!</v>
      </c>
      <c r="O13" s="20" t="e">
        <f>SUMIFS(PERSONASBENEFICIADASPRESIDENCIA,PERIODOPRESIDENCIA,F1,MESAREPORTARPRESIDENCIA,O2)</f>
        <v>#REF!</v>
      </c>
      <c r="P13" s="20" t="e">
        <f>SUMIFS(PERSONASBENEFICIADASPRESIDENCIA,PERIODOPRESIDENCIA,F1,MESAREPORTARPRESIDENCIA,P2)</f>
        <v>#REF!</v>
      </c>
      <c r="Q13" s="20" t="e">
        <f>SUMIFS(PERSONASBENEFICIADASPRESIDENCIA,PERIODOPRESIDENCIA,F1,MESAREPORTARPRESIDENCIA,Q2)</f>
        <v>#REF!</v>
      </c>
      <c r="R13" s="20" t="e">
        <f>SUMIFS(PERSONASBENEFICIADASPRESIDENCIA,PERIODOPRESIDENCIA,F1,MESAREPORTARPRESIDENCIA,R2)</f>
        <v>#REF!</v>
      </c>
      <c r="S13" s="20" t="e">
        <f>SUMIFS(PERSONASBENEFICIADASPRESIDENCIA,PERIODOPRESIDENCIA,F1,MESAREPORTARPRESIDENCIA,S2)</f>
        <v>#REF!</v>
      </c>
      <c r="T13" s="22" t="e">
        <f t="shared" si="0"/>
        <v>#REF!</v>
      </c>
    </row>
  </sheetData>
  <mergeCells count="8">
    <mergeCell ref="H1:T1"/>
    <mergeCell ref="A3:A4"/>
    <mergeCell ref="A5:A6"/>
    <mergeCell ref="A7:A8"/>
    <mergeCell ref="A9:A11"/>
    <mergeCell ref="A12:A13"/>
    <mergeCell ref="B1:D1"/>
    <mergeCell ref="F1:G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27</vt:i4>
      </vt:variant>
    </vt:vector>
  </HeadingPairs>
  <TitlesOfParts>
    <vt:vector size="27" baseType="lpstr">
      <vt:lpstr>SMGR 24-25</vt:lpstr>
      <vt:lpstr>SMGR 25-26</vt:lpstr>
      <vt:lpstr>SMGR 26-27</vt:lpstr>
      <vt:lpstr>GRAF.PRESIDENCIA 24-25</vt:lpstr>
      <vt:lpstr>GRAF.PRESIDENCIA 25-26</vt:lpstr>
      <vt:lpstr>GRAF.PRESIDENCIA 26-27</vt:lpstr>
      <vt:lpstr>PRESIDENCIA 24-25</vt:lpstr>
      <vt:lpstr>PRESIDENCIA 25-26</vt:lpstr>
      <vt:lpstr>PRESIDENCIA 26-27</vt:lpstr>
      <vt:lpstr>EXT</vt:lpstr>
      <vt:lpstr>01</vt:lpstr>
      <vt:lpstr>02</vt:lpstr>
      <vt:lpstr>03</vt:lpstr>
      <vt:lpstr>BD PRESIDENCIA</vt:lpstr>
      <vt:lpstr>SIN1PERIODO</vt:lpstr>
      <vt:lpstr>SECGEN1PERIODO</vt:lpstr>
      <vt:lpstr>GAB1PERIODO</vt:lpstr>
      <vt:lpstr>TESORERIA1PERIODO</vt:lpstr>
      <vt:lpstr>1PERIODOCONTRALORIA</vt:lpstr>
      <vt:lpstr>1ER PERIODOADMINISTRACION</vt:lpstr>
      <vt:lpstr>1ER PERIODO DESARROLLO ECONOMIC</vt:lpstr>
      <vt:lpstr>1ER PERIODO CONSTRUCCION DE LA </vt:lpstr>
      <vt:lpstr>1ERA SERVICIOS GENERALES</vt:lpstr>
      <vt:lpstr>1RA SEGURIDAD PUBLICA</vt:lpstr>
      <vt:lpstr>1RA GESTION DE LA CIUDAD</vt:lpstr>
      <vt:lpstr>1RA PROTECCION CIVIL</vt:lpstr>
      <vt:lpstr>EXT (1)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Ing. jonathan de Leon Camarena</cp:lastModifiedBy>
  <dcterms:created xsi:type="dcterms:W3CDTF">2025-03-10T18:51:26Z</dcterms:created>
  <dcterms:modified xsi:type="dcterms:W3CDTF">2025-07-01T17:00:18Z</dcterms:modified>
</cp:coreProperties>
</file>